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 windowWidth="27825" windowHeight="13680"/>
  </bookViews>
  <sheets>
    <sheet name="DATA" sheetId="1" r:id="rId1"/>
  </sheets>
  <externalReferences>
    <externalReference r:id="rId2"/>
    <externalReference r:id="rId3"/>
  </externalReferences>
  <definedNames>
    <definedName name="asdf">#REF!</definedName>
    <definedName name="Cap_Detail_Total">'[2]Capital_Num Detail'!$A$167:$IV$167</definedName>
    <definedName name="Oil_Revenue">#REF!</definedName>
    <definedName name="Oil_Revenue2">#REF!</definedName>
    <definedName name="Op_Detail_Total">'[2]Operating_Num Detail'!$A$168:$IV$168</definedName>
    <definedName name="Op_GF_Group_Total">'[2]Operating_Num Detail'!$A$170:$IV$170</definedName>
    <definedName name="_xlnm.Print_Area" localSheetId="0">DATA!$A$1:$C$62</definedName>
    <definedName name="_xlnm.Print_Titles" localSheetId="0">DATA!$1:$1</definedName>
    <definedName name="Rate_of_Return">#REF!</definedName>
    <definedName name="TABLE" localSheetId="0">DATA!$A$1:$U$44</definedName>
    <definedName name="whatever">#REF!</definedName>
  </definedNames>
  <calcPr calcId="125725"/>
</workbook>
</file>

<file path=xl/calcChain.xml><?xml version="1.0" encoding="utf-8"?>
<calcChain xmlns="http://schemas.openxmlformats.org/spreadsheetml/2006/main">
  <c r="P2" i="1"/>
  <c r="AE2"/>
  <c r="AG2" s="1"/>
  <c r="AK2"/>
  <c r="P3"/>
  <c r="T3"/>
  <c r="U3" s="1"/>
  <c r="AE3"/>
  <c r="AG3"/>
  <c r="AK3"/>
  <c r="F4"/>
  <c r="P4"/>
  <c r="T4"/>
  <c r="U4" s="1"/>
  <c r="AE4"/>
  <c r="AG4"/>
  <c r="AK4"/>
  <c r="E5"/>
  <c r="F5"/>
  <c r="P5"/>
  <c r="AE5"/>
  <c r="AG5" s="1"/>
  <c r="AK5"/>
  <c r="E6"/>
  <c r="F6"/>
  <c r="P6"/>
  <c r="T6" s="1"/>
  <c r="U6"/>
  <c r="AE6"/>
  <c r="AG6" s="1"/>
  <c r="AK6"/>
  <c r="E7"/>
  <c r="F7"/>
  <c r="P7"/>
  <c r="T7"/>
  <c r="U7" s="1"/>
  <c r="AE7"/>
  <c r="AG7" s="1"/>
  <c r="AK7"/>
  <c r="E8"/>
  <c r="F8"/>
  <c r="P8"/>
  <c r="T8"/>
  <c r="U8" s="1"/>
  <c r="AE8"/>
  <c r="AG8"/>
  <c r="AK8"/>
  <c r="E9"/>
  <c r="F9"/>
  <c r="P9"/>
  <c r="AE9"/>
  <c r="AG9" s="1"/>
  <c r="AK9"/>
  <c r="E10"/>
  <c r="F10"/>
  <c r="P10"/>
  <c r="T10" s="1"/>
  <c r="U10"/>
  <c r="AE10"/>
  <c r="AG10" s="1"/>
  <c r="AK10"/>
  <c r="E11"/>
  <c r="F11"/>
  <c r="P11"/>
  <c r="T11"/>
  <c r="U11" s="1"/>
  <c r="AE11"/>
  <c r="AG11" s="1"/>
  <c r="AK11"/>
  <c r="E12"/>
  <c r="F12"/>
  <c r="P12"/>
  <c r="T12"/>
  <c r="U12" s="1"/>
  <c r="AE12"/>
  <c r="AG12"/>
  <c r="AK12"/>
  <c r="E13"/>
  <c r="F13"/>
  <c r="P13"/>
  <c r="AE13"/>
  <c r="AG13" s="1"/>
  <c r="AK13"/>
  <c r="E14"/>
  <c r="F14"/>
  <c r="P14"/>
  <c r="T14" s="1"/>
  <c r="U14"/>
  <c r="AE14"/>
  <c r="AG14" s="1"/>
  <c r="AK14"/>
  <c r="E15"/>
  <c r="F15"/>
  <c r="P15"/>
  <c r="T15"/>
  <c r="U15" s="1"/>
  <c r="AE15"/>
  <c r="AG15" s="1"/>
  <c r="AK15"/>
  <c r="E16"/>
  <c r="F16"/>
  <c r="P16"/>
  <c r="T16"/>
  <c r="U16" s="1"/>
  <c r="AE16"/>
  <c r="AG16"/>
  <c r="AK16"/>
  <c r="E17"/>
  <c r="F17"/>
  <c r="P17"/>
  <c r="AE17"/>
  <c r="AG17" s="1"/>
  <c r="AK17"/>
  <c r="E18"/>
  <c r="F18"/>
  <c r="AO18" s="1"/>
  <c r="BA18" s="1"/>
  <c r="P18"/>
  <c r="T18" s="1"/>
  <c r="U18"/>
  <c r="AE18"/>
  <c r="AG18" s="1"/>
  <c r="AK18"/>
  <c r="AN18"/>
  <c r="AZ18" s="1"/>
  <c r="AS18"/>
  <c r="AT18"/>
  <c r="AU18"/>
  <c r="E19"/>
  <c r="F19"/>
  <c r="AN19" s="1"/>
  <c r="AZ19" s="1"/>
  <c r="P19"/>
  <c r="T19"/>
  <c r="U19" s="1"/>
  <c r="AE19"/>
  <c r="AG19"/>
  <c r="AK19"/>
  <c r="AM19"/>
  <c r="AO19"/>
  <c r="BA19" s="1"/>
  <c r="AP19"/>
  <c r="AS19"/>
  <c r="AT19"/>
  <c r="AU19"/>
  <c r="AV19"/>
  <c r="AY19"/>
  <c r="BB19"/>
  <c r="E20"/>
  <c r="F20"/>
  <c r="AO20" s="1"/>
  <c r="BA20" s="1"/>
  <c r="P20"/>
  <c r="T20" s="1"/>
  <c r="U20"/>
  <c r="AE20"/>
  <c r="AG20" s="1"/>
  <c r="AK20"/>
  <c r="AN20"/>
  <c r="AZ20" s="1"/>
  <c r="AS20"/>
  <c r="AT20"/>
  <c r="AU20"/>
  <c r="E21"/>
  <c r="F21"/>
  <c r="AN21" s="1"/>
  <c r="AZ21" s="1"/>
  <c r="P21"/>
  <c r="T21"/>
  <c r="U21" s="1"/>
  <c r="AE21"/>
  <c r="AG21"/>
  <c r="AK21"/>
  <c r="AM21"/>
  <c r="AO21"/>
  <c r="BA21" s="1"/>
  <c r="AP21"/>
  <c r="AS21"/>
  <c r="AT21"/>
  <c r="AU21"/>
  <c r="AV21"/>
  <c r="AY21"/>
  <c r="BB21"/>
  <c r="E22"/>
  <c r="F22"/>
  <c r="AO22" s="1"/>
  <c r="BA22" s="1"/>
  <c r="P22"/>
  <c r="T22" s="1"/>
  <c r="U22"/>
  <c r="AE22"/>
  <c r="AG22" s="1"/>
  <c r="AK22"/>
  <c r="AN22"/>
  <c r="AZ22" s="1"/>
  <c r="AS22"/>
  <c r="AT22"/>
  <c r="AU22"/>
  <c r="E23"/>
  <c r="F23"/>
  <c r="AN23" s="1"/>
  <c r="AZ23" s="1"/>
  <c r="P23"/>
  <c r="T23"/>
  <c r="U23" s="1"/>
  <c r="AE23"/>
  <c r="AG23"/>
  <c r="AK23"/>
  <c r="AM23"/>
  <c r="AO23"/>
  <c r="BA23" s="1"/>
  <c r="AP23"/>
  <c r="AS23"/>
  <c r="AT23"/>
  <c r="AU23"/>
  <c r="AV23"/>
  <c r="AY23"/>
  <c r="BB23"/>
  <c r="E24"/>
  <c r="F24"/>
  <c r="P24"/>
  <c r="T24" s="1"/>
  <c r="U24"/>
  <c r="AE24"/>
  <c r="AG24" s="1"/>
  <c r="AI24"/>
  <c r="AK24"/>
  <c r="AM24"/>
  <c r="AY24" s="1"/>
  <c r="AP24"/>
  <c r="BB24" s="1"/>
  <c r="AS24"/>
  <c r="AT24"/>
  <c r="AU24"/>
  <c r="AV24"/>
  <c r="E25"/>
  <c r="F25"/>
  <c r="G25"/>
  <c r="P25"/>
  <c r="T25" s="1"/>
  <c r="AE25"/>
  <c r="AG25" s="1"/>
  <c r="AI25"/>
  <c r="AK25"/>
  <c r="AM25"/>
  <c r="AN25"/>
  <c r="AO25"/>
  <c r="AP25"/>
  <c r="AS25"/>
  <c r="AT25"/>
  <c r="AU25"/>
  <c r="AV25"/>
  <c r="AY25"/>
  <c r="AZ25"/>
  <c r="BA25"/>
  <c r="BB25"/>
  <c r="BC25"/>
  <c r="E26"/>
  <c r="F26"/>
  <c r="G26"/>
  <c r="P26"/>
  <c r="T26" s="1"/>
  <c r="AE26"/>
  <c r="AG26" s="1"/>
  <c r="AK26"/>
  <c r="AM26"/>
  <c r="AY26" s="1"/>
  <c r="BC26" s="1"/>
  <c r="AN26"/>
  <c r="AO26"/>
  <c r="AS26"/>
  <c r="AT26"/>
  <c r="AU26"/>
  <c r="AZ26"/>
  <c r="BA26"/>
  <c r="E27"/>
  <c r="F27"/>
  <c r="AM27" s="1"/>
  <c r="AY27" s="1"/>
  <c r="G27"/>
  <c r="P27"/>
  <c r="AE27"/>
  <c r="AG27" s="1"/>
  <c r="AK27"/>
  <c r="AN27"/>
  <c r="AO27"/>
  <c r="BA27" s="1"/>
  <c r="AS27"/>
  <c r="AT27"/>
  <c r="AU27"/>
  <c r="AZ27"/>
  <c r="E28"/>
  <c r="F28"/>
  <c r="AM28" s="1"/>
  <c r="AY28" s="1"/>
  <c r="G28"/>
  <c r="P28"/>
  <c r="T28"/>
  <c r="AE28"/>
  <c r="AG28"/>
  <c r="AI28"/>
  <c r="AK28" s="1"/>
  <c r="AN28"/>
  <c r="AO28"/>
  <c r="BA28" s="1"/>
  <c r="AS28"/>
  <c r="AT28"/>
  <c r="AU28"/>
  <c r="AZ28"/>
  <c r="E29"/>
  <c r="F29"/>
  <c r="G29"/>
  <c r="P29"/>
  <c r="T29"/>
  <c r="U29" s="1"/>
  <c r="AE29"/>
  <c r="AG29"/>
  <c r="AK29"/>
  <c r="AO29"/>
  <c r="AP29"/>
  <c r="BB29" s="1"/>
  <c r="AS29"/>
  <c r="AT29"/>
  <c r="AU29"/>
  <c r="AV29"/>
  <c r="BA29"/>
  <c r="E30"/>
  <c r="F30"/>
  <c r="AO30" s="1"/>
  <c r="BA30" s="1"/>
  <c r="P30"/>
  <c r="T30" s="1"/>
  <c r="AE30"/>
  <c r="AG30" s="1"/>
  <c r="AK30"/>
  <c r="AS30"/>
  <c r="AT30"/>
  <c r="AU30"/>
  <c r="E31"/>
  <c r="F31"/>
  <c r="AM31" s="1"/>
  <c r="AY31" s="1"/>
  <c r="P31"/>
  <c r="T31"/>
  <c r="AE31"/>
  <c r="AG31"/>
  <c r="AI31"/>
  <c r="AK31" s="1"/>
  <c r="AN31"/>
  <c r="AZ31" s="1"/>
  <c r="AO31"/>
  <c r="BA31" s="1"/>
  <c r="AS31"/>
  <c r="AT31"/>
  <c r="AU31"/>
  <c r="E32"/>
  <c r="F32"/>
  <c r="P32"/>
  <c r="T32"/>
  <c r="U32"/>
  <c r="AE32"/>
  <c r="AG32" s="1"/>
  <c r="AI32"/>
  <c r="AK32" s="1"/>
  <c r="AO32"/>
  <c r="BA32" s="1"/>
  <c r="AP32"/>
  <c r="BB32" s="1"/>
  <c r="AS32"/>
  <c r="AT32"/>
  <c r="AU32"/>
  <c r="AV32"/>
  <c r="E33"/>
  <c r="F33"/>
  <c r="P33"/>
  <c r="T33" s="1"/>
  <c r="AE33"/>
  <c r="AG33" s="1"/>
  <c r="AI33"/>
  <c r="AK33"/>
  <c r="AP33"/>
  <c r="BB33" s="1"/>
  <c r="AS33"/>
  <c r="AT33"/>
  <c r="AU33"/>
  <c r="AV33"/>
  <c r="E34"/>
  <c r="F34"/>
  <c r="P34"/>
  <c r="AD34"/>
  <c r="AI34"/>
  <c r="AK34"/>
  <c r="AM34"/>
  <c r="AY34" s="1"/>
  <c r="AO34"/>
  <c r="AS34"/>
  <c r="AU34"/>
  <c r="BA34"/>
  <c r="E35"/>
  <c r="F35"/>
  <c r="P35"/>
  <c r="AE35"/>
  <c r="AG35" s="1"/>
  <c r="AI35"/>
  <c r="AK35" s="1"/>
  <c r="AM35"/>
  <c r="AY35" s="1"/>
  <c r="BC35" s="1"/>
  <c r="AN35"/>
  <c r="AO35"/>
  <c r="AS35"/>
  <c r="AT35"/>
  <c r="AU35"/>
  <c r="AZ35"/>
  <c r="BA35"/>
  <c r="E36"/>
  <c r="F36"/>
  <c r="AM36" s="1"/>
  <c r="AY36" s="1"/>
  <c r="P36"/>
  <c r="T36"/>
  <c r="AE36"/>
  <c r="AG36"/>
  <c r="AI36"/>
  <c r="AK36" s="1"/>
  <c r="AN36"/>
  <c r="AO36"/>
  <c r="BA36" s="1"/>
  <c r="AS36"/>
  <c r="AT36"/>
  <c r="AU36"/>
  <c r="AZ36"/>
  <c r="E37"/>
  <c r="F37"/>
  <c r="P37"/>
  <c r="T37"/>
  <c r="AP37" s="1"/>
  <c r="BB37" s="1"/>
  <c r="AE37"/>
  <c r="AG37" s="1"/>
  <c r="AI37"/>
  <c r="AK37" s="1"/>
  <c r="AO37"/>
  <c r="AS37"/>
  <c r="AT37"/>
  <c r="AU37"/>
  <c r="BA37"/>
  <c r="E38"/>
  <c r="F38"/>
  <c r="P38"/>
  <c r="T38" s="1"/>
  <c r="AP38" s="1"/>
  <c r="BB38" s="1"/>
  <c r="AE38"/>
  <c r="AG38" s="1"/>
  <c r="AI38"/>
  <c r="AK38"/>
  <c r="AM38"/>
  <c r="AY38" s="1"/>
  <c r="AS38"/>
  <c r="AT38"/>
  <c r="AU38"/>
  <c r="E39"/>
  <c r="F39"/>
  <c r="P39"/>
  <c r="AE39"/>
  <c r="AG39" s="1"/>
  <c r="AI39"/>
  <c r="AK39" s="1"/>
  <c r="AM39"/>
  <c r="AY39" s="1"/>
  <c r="BC39" s="1"/>
  <c r="AN39"/>
  <c r="AO39"/>
  <c r="AS39"/>
  <c r="AT39"/>
  <c r="AU39"/>
  <c r="AZ39"/>
  <c r="BA39"/>
  <c r="E40"/>
  <c r="F40"/>
  <c r="AM40" s="1"/>
  <c r="AY40" s="1"/>
  <c r="P40"/>
  <c r="T40"/>
  <c r="AE40"/>
  <c r="AG40"/>
  <c r="AI40"/>
  <c r="AK40" s="1"/>
  <c r="AN40"/>
  <c r="AO40"/>
  <c r="BA40" s="1"/>
  <c r="AS40"/>
  <c r="AT40"/>
  <c r="AU40"/>
  <c r="AZ40"/>
  <c r="E41"/>
  <c r="F41"/>
  <c r="P41"/>
  <c r="T41"/>
  <c r="AP41" s="1"/>
  <c r="BB41" s="1"/>
  <c r="AE41"/>
  <c r="AG41" s="1"/>
  <c r="AI41"/>
  <c r="AK41" s="1"/>
  <c r="AO41"/>
  <c r="AS41"/>
  <c r="AT41"/>
  <c r="AU41"/>
  <c r="BA41"/>
  <c r="E42"/>
  <c r="F42"/>
  <c r="P42"/>
  <c r="T42" s="1"/>
  <c r="AE42"/>
  <c r="AG42" s="1"/>
  <c r="AK42"/>
  <c r="AM42"/>
  <c r="AY42" s="1"/>
  <c r="BC42" s="1"/>
  <c r="AN42"/>
  <c r="AZ42" s="1"/>
  <c r="AO42"/>
  <c r="AS42"/>
  <c r="AT42"/>
  <c r="AU42"/>
  <c r="BA42"/>
  <c r="E43"/>
  <c r="F43"/>
  <c r="P43"/>
  <c r="T43"/>
  <c r="U43" s="1"/>
  <c r="AE43"/>
  <c r="AG43"/>
  <c r="AI43"/>
  <c r="AK43" s="1"/>
  <c r="AN43"/>
  <c r="AZ43" s="1"/>
  <c r="AO43"/>
  <c r="AP43"/>
  <c r="AS43"/>
  <c r="AT43"/>
  <c r="AU43"/>
  <c r="AV43"/>
  <c r="BA43"/>
  <c r="BB43"/>
  <c r="BJ43"/>
  <c r="BL43"/>
  <c r="BM43"/>
  <c r="BS43" s="1"/>
  <c r="BY43" s="1"/>
  <c r="BO43"/>
  <c r="BP43"/>
  <c r="BR43"/>
  <c r="BU43"/>
  <c r="BV43"/>
  <c r="CA43"/>
  <c r="E44"/>
  <c r="F44"/>
  <c r="P44"/>
  <c r="T44"/>
  <c r="AE44"/>
  <c r="AG44" s="1"/>
  <c r="AI44"/>
  <c r="AK44" s="1"/>
  <c r="AM44"/>
  <c r="AY44" s="1"/>
  <c r="AN44"/>
  <c r="AZ44" s="1"/>
  <c r="BY44" s="1"/>
  <c r="AO44"/>
  <c r="AS44"/>
  <c r="AT44"/>
  <c r="AU44"/>
  <c r="BA44"/>
  <c r="BZ44" s="1"/>
  <c r="BL44"/>
  <c r="BR44" s="1"/>
  <c r="BM44"/>
  <c r="BN44"/>
  <c r="BO44"/>
  <c r="BS44"/>
  <c r="BT44"/>
  <c r="BU44"/>
  <c r="CA44" s="1"/>
  <c r="E45"/>
  <c r="F45"/>
  <c r="P45"/>
  <c r="T45" s="1"/>
  <c r="U45"/>
  <c r="AE45"/>
  <c r="AG45" s="1"/>
  <c r="AI45"/>
  <c r="AK45"/>
  <c r="AM45"/>
  <c r="AP45"/>
  <c r="BB45" s="1"/>
  <c r="AS45"/>
  <c r="AT45"/>
  <c r="AU45"/>
  <c r="AV45"/>
  <c r="AY45"/>
  <c r="BJ45"/>
  <c r="BP45" s="1"/>
  <c r="BM45"/>
  <c r="BO45"/>
  <c r="BU45" s="1"/>
  <c r="CA45" s="1"/>
  <c r="CB45" s="1"/>
  <c r="BS45"/>
  <c r="BV45"/>
  <c r="E46"/>
  <c r="F46"/>
  <c r="P46"/>
  <c r="AE46"/>
  <c r="AG46" s="1"/>
  <c r="AI46"/>
  <c r="AK46" s="1"/>
  <c r="AM46"/>
  <c r="AO46"/>
  <c r="AS46"/>
  <c r="AT46"/>
  <c r="AU46"/>
  <c r="AY46"/>
  <c r="BA46"/>
  <c r="BL46"/>
  <c r="BM46"/>
  <c r="BN46"/>
  <c r="BT46" s="1"/>
  <c r="BR46"/>
  <c r="BS46"/>
  <c r="BX46"/>
  <c r="BZ46"/>
  <c r="E47"/>
  <c r="F47"/>
  <c r="BM47" s="1"/>
  <c r="N47"/>
  <c r="P47"/>
  <c r="AE47"/>
  <c r="AG47" s="1"/>
  <c r="AI47"/>
  <c r="AK47" s="1"/>
  <c r="AM47"/>
  <c r="AN47"/>
  <c r="AZ47" s="1"/>
  <c r="AO47"/>
  <c r="BA47" s="1"/>
  <c r="BZ47" s="1"/>
  <c r="AS47"/>
  <c r="AT47"/>
  <c r="AU47"/>
  <c r="AY47"/>
  <c r="BL47"/>
  <c r="BR47" s="1"/>
  <c r="BN47"/>
  <c r="BO47"/>
  <c r="BS47"/>
  <c r="BT47"/>
  <c r="BU47"/>
  <c r="CA47" s="1"/>
  <c r="BX47"/>
  <c r="E48"/>
  <c r="F48"/>
  <c r="P48"/>
  <c r="T48" s="1"/>
  <c r="BJ48" s="1"/>
  <c r="BP48" s="1"/>
  <c r="BV48" s="1"/>
  <c r="AE48"/>
  <c r="AG48" s="1"/>
  <c r="AI48"/>
  <c r="AK48"/>
  <c r="AM48"/>
  <c r="AY48" s="1"/>
  <c r="AS48"/>
  <c r="AT48"/>
  <c r="AU48"/>
  <c r="BM48"/>
  <c r="BS48"/>
  <c r="E49"/>
  <c r="F49"/>
  <c r="P49"/>
  <c r="T49" s="1"/>
  <c r="AE49"/>
  <c r="AG49" s="1"/>
  <c r="AI49"/>
  <c r="AK49" s="1"/>
  <c r="AM49"/>
  <c r="AY49" s="1"/>
  <c r="AO49"/>
  <c r="AS49"/>
  <c r="AT49"/>
  <c r="AU49"/>
  <c r="BA49"/>
  <c r="BM49"/>
  <c r="BN49"/>
  <c r="BT49" s="1"/>
  <c r="BS49"/>
  <c r="BZ49"/>
  <c r="E50"/>
  <c r="F50"/>
  <c r="P50"/>
  <c r="T50"/>
  <c r="U50" s="1"/>
  <c r="AE50"/>
  <c r="AG50"/>
  <c r="AI50"/>
  <c r="AK50" s="1"/>
  <c r="AP50"/>
  <c r="BB50" s="1"/>
  <c r="AS50"/>
  <c r="AT50"/>
  <c r="AU50"/>
  <c r="AV50"/>
  <c r="BJ50"/>
  <c r="BL50"/>
  <c r="BP50"/>
  <c r="BR50"/>
  <c r="BV50"/>
  <c r="E51"/>
  <c r="F51"/>
  <c r="P51"/>
  <c r="U51" s="1"/>
  <c r="AE51"/>
  <c r="AG51"/>
  <c r="AI51" s="1"/>
  <c r="AK51" s="1"/>
  <c r="AM51"/>
  <c r="AN51"/>
  <c r="AO51"/>
  <c r="AP51"/>
  <c r="AS51"/>
  <c r="AT51"/>
  <c r="AU51"/>
  <c r="AV51"/>
  <c r="AY51"/>
  <c r="AZ51"/>
  <c r="BA51"/>
  <c r="BC51" s="1"/>
  <c r="BB51"/>
  <c r="BJ51"/>
  <c r="BL51"/>
  <c r="BR51" s="1"/>
  <c r="BM51"/>
  <c r="BN51"/>
  <c r="BO51"/>
  <c r="BP51"/>
  <c r="BV51" s="1"/>
  <c r="CB51" s="1"/>
  <c r="BS51"/>
  <c r="BT51"/>
  <c r="BU51"/>
  <c r="CA51" s="1"/>
  <c r="BX51"/>
  <c r="BY51"/>
  <c r="E52"/>
  <c r="F52"/>
  <c r="P52"/>
  <c r="R52" s="1"/>
  <c r="AE52"/>
  <c r="AG52"/>
  <c r="AI52" s="1"/>
  <c r="AK52" s="1"/>
  <c r="AM52"/>
  <c r="AN52"/>
  <c r="AP52"/>
  <c r="BB52" s="1"/>
  <c r="AS52"/>
  <c r="AT52"/>
  <c r="AU52"/>
  <c r="AV52"/>
  <c r="AY52"/>
  <c r="AZ52"/>
  <c r="BJ52"/>
  <c r="BP52" s="1"/>
  <c r="BM52"/>
  <c r="BN52"/>
  <c r="BO52"/>
  <c r="BU52" s="1"/>
  <c r="CA52" s="1"/>
  <c r="CB52" s="1"/>
  <c r="BS52"/>
  <c r="BT52"/>
  <c r="BV52"/>
  <c r="BY52"/>
  <c r="E53"/>
  <c r="F53"/>
  <c r="P53"/>
  <c r="U53" s="1"/>
  <c r="AE53"/>
  <c r="AG53" s="1"/>
  <c r="AI53"/>
  <c r="AK53" s="1"/>
  <c r="AM53"/>
  <c r="AO53"/>
  <c r="AP53"/>
  <c r="BB53" s="1"/>
  <c r="AS53"/>
  <c r="AT53"/>
  <c r="AU53"/>
  <c r="AV53"/>
  <c r="AY53"/>
  <c r="BX53" s="1"/>
  <c r="BA53"/>
  <c r="BJ53"/>
  <c r="BL53"/>
  <c r="BM53"/>
  <c r="BN53"/>
  <c r="BT53" s="1"/>
  <c r="BZ53" s="1"/>
  <c r="BP53"/>
  <c r="BR53"/>
  <c r="BS53"/>
  <c r="BV53"/>
  <c r="E54"/>
  <c r="F54"/>
  <c r="P54"/>
  <c r="R54"/>
  <c r="U54"/>
  <c r="AE54"/>
  <c r="AG54"/>
  <c r="AI54" s="1"/>
  <c r="AK54" s="1"/>
  <c r="AS54"/>
  <c r="AT54"/>
  <c r="AU54"/>
  <c r="AV54"/>
  <c r="BJ54"/>
  <c r="BL54"/>
  <c r="BR54"/>
  <c r="E55"/>
  <c r="F55"/>
  <c r="P55"/>
  <c r="U55" s="1"/>
  <c r="R55"/>
  <c r="AE55"/>
  <c r="AG55" s="1"/>
  <c r="AI55" s="1"/>
  <c r="AK55" s="1"/>
  <c r="AM55"/>
  <c r="AN55"/>
  <c r="AO55"/>
  <c r="AP55"/>
  <c r="AS55"/>
  <c r="AT55"/>
  <c r="AU55"/>
  <c r="AV55"/>
  <c r="AY55"/>
  <c r="BX55" s="1"/>
  <c r="CC55" s="1"/>
  <c r="CE55" s="1"/>
  <c r="AZ55"/>
  <c r="BA55"/>
  <c r="BB55"/>
  <c r="BC55"/>
  <c r="BJ55"/>
  <c r="BP55" s="1"/>
  <c r="BV55" s="1"/>
  <c r="CB55" s="1"/>
  <c r="BL55"/>
  <c r="BR55" s="1"/>
  <c r="BM55"/>
  <c r="BN55"/>
  <c r="BO55"/>
  <c r="BS55"/>
  <c r="BT55"/>
  <c r="BU55"/>
  <c r="CA55" s="1"/>
  <c r="BY55"/>
  <c r="BZ55"/>
  <c r="E56"/>
  <c r="F56"/>
  <c r="P56"/>
  <c r="T56" s="1"/>
  <c r="U56"/>
  <c r="AE56"/>
  <c r="AG56" s="1"/>
  <c r="AM56"/>
  <c r="AN56"/>
  <c r="AS56"/>
  <c r="AT56"/>
  <c r="AU56"/>
  <c r="AV56"/>
  <c r="AY56"/>
  <c r="AZ56"/>
  <c r="BJ56"/>
  <c r="BP56" s="1"/>
  <c r="BV56" s="1"/>
  <c r="BM56"/>
  <c r="BN56"/>
  <c r="BS56"/>
  <c r="BT56"/>
  <c r="BY56"/>
  <c r="E57"/>
  <c r="F57"/>
  <c r="P57"/>
  <c r="T57"/>
  <c r="BJ57" s="1"/>
  <c r="BP57" s="1"/>
  <c r="BV57" s="1"/>
  <c r="AE57"/>
  <c r="AG57" s="1"/>
  <c r="AM57"/>
  <c r="AO57"/>
  <c r="AS57"/>
  <c r="AT57"/>
  <c r="AU57"/>
  <c r="AY57"/>
  <c r="BA57"/>
  <c r="BL57"/>
  <c r="BM57"/>
  <c r="BN57"/>
  <c r="BT57" s="1"/>
  <c r="BR57"/>
  <c r="BS57"/>
  <c r="BX57"/>
  <c r="BZ57"/>
  <c r="E58"/>
  <c r="F58"/>
  <c r="BM58" s="1"/>
  <c r="P58"/>
  <c r="T58"/>
  <c r="AD58"/>
  <c r="AE58"/>
  <c r="AG58" s="1"/>
  <c r="AN58"/>
  <c r="AZ58" s="1"/>
  <c r="BY58" s="1"/>
  <c r="AO58"/>
  <c r="BA58" s="1"/>
  <c r="AS58"/>
  <c r="AT58"/>
  <c r="AU58"/>
  <c r="BJ58"/>
  <c r="BL58"/>
  <c r="BR58" s="1"/>
  <c r="BO58"/>
  <c r="BP58"/>
  <c r="BV58" s="1"/>
  <c r="BS58"/>
  <c r="BU58"/>
  <c r="CA58" s="1"/>
  <c r="CB58"/>
  <c r="E59"/>
  <c r="F59"/>
  <c r="P59"/>
  <c r="R59" s="1"/>
  <c r="AE59"/>
  <c r="AG59" s="1"/>
  <c r="AM59"/>
  <c r="AY59" s="1"/>
  <c r="AS59"/>
  <c r="AT59"/>
  <c r="AU59"/>
  <c r="BM59"/>
  <c r="BS59"/>
  <c r="E60"/>
  <c r="F60"/>
  <c r="P60"/>
  <c r="T60"/>
  <c r="U60" s="1"/>
  <c r="AE60"/>
  <c r="AG60"/>
  <c r="AJ60"/>
  <c r="AK60" s="1"/>
  <c r="AP60"/>
  <c r="BB60" s="1"/>
  <c r="AS60"/>
  <c r="AT60"/>
  <c r="AU60"/>
  <c r="AV60"/>
  <c r="BJ60"/>
  <c r="BL60"/>
  <c r="BP60"/>
  <c r="BR60"/>
  <c r="BV60"/>
  <c r="E61"/>
  <c r="F61"/>
  <c r="N61"/>
  <c r="P61" s="1"/>
  <c r="AE61"/>
  <c r="AG61" s="1"/>
  <c r="AM61"/>
  <c r="AN61"/>
  <c r="AO61"/>
  <c r="AS61"/>
  <c r="AT61"/>
  <c r="AU61"/>
  <c r="AY61"/>
  <c r="AZ61"/>
  <c r="BC61" s="1"/>
  <c r="BA61"/>
  <c r="BL61"/>
  <c r="BM61"/>
  <c r="BN61"/>
  <c r="BO61"/>
  <c r="BU61" s="1"/>
  <c r="CA61" s="1"/>
  <c r="BR61"/>
  <c r="BS61"/>
  <c r="BT61"/>
  <c r="BZ61" s="1"/>
  <c r="BX61"/>
  <c r="D62"/>
  <c r="E62" s="1"/>
  <c r="F62"/>
  <c r="R62"/>
  <c r="T62" s="1"/>
  <c r="V62"/>
  <c r="W62"/>
  <c r="AE62"/>
  <c r="AG62" s="1"/>
  <c r="AQ62"/>
  <c r="BD62" s="1"/>
  <c r="AS62"/>
  <c r="AT62"/>
  <c r="AU62"/>
  <c r="BO62"/>
  <c r="BU62"/>
  <c r="CA62"/>
  <c r="R63"/>
  <c r="T63" s="1"/>
  <c r="AV63" s="1"/>
  <c r="V63"/>
  <c r="W63"/>
  <c r="AE63"/>
  <c r="AG63"/>
  <c r="AJ63"/>
  <c r="AK63" s="1"/>
  <c r="AS63"/>
  <c r="AT63"/>
  <c r="AU63"/>
  <c r="BJ63"/>
  <c r="R64"/>
  <c r="T64" s="1"/>
  <c r="R76" s="1"/>
  <c r="V64"/>
  <c r="W64"/>
  <c r="AJ64" s="1"/>
  <c r="AK64" s="1"/>
  <c r="AE64"/>
  <c r="AG64" s="1"/>
  <c r="AS64"/>
  <c r="AT64"/>
  <c r="AU64"/>
  <c r="R65"/>
  <c r="U65"/>
  <c r="R66"/>
  <c r="U66"/>
  <c r="R67"/>
  <c r="U67"/>
  <c r="R68"/>
  <c r="U68"/>
  <c r="R69"/>
  <c r="U69"/>
  <c r="R70"/>
  <c r="U70"/>
  <c r="AC70"/>
  <c r="AC71" s="1"/>
  <c r="AC72" s="1"/>
  <c r="AF70"/>
  <c r="R71"/>
  <c r="U71"/>
  <c r="R72"/>
  <c r="V72" s="1"/>
  <c r="U72"/>
  <c r="T61" l="1"/>
  <c r="BY47"/>
  <c r="CC47" s="1"/>
  <c r="CE47" s="1"/>
  <c r="BC47"/>
  <c r="U64"/>
  <c r="AV64"/>
  <c r="BJ64"/>
  <c r="BJ49"/>
  <c r="BP49" s="1"/>
  <c r="BV49" s="1"/>
  <c r="AP49"/>
  <c r="BB49" s="1"/>
  <c r="AV49"/>
  <c r="U49"/>
  <c r="U62"/>
  <c r="AP62"/>
  <c r="BB62" s="1"/>
  <c r="BJ62"/>
  <c r="BP62" s="1"/>
  <c r="BV62" s="1"/>
  <c r="CB62" s="1"/>
  <c r="AV62"/>
  <c r="BX44"/>
  <c r="CC44" s="1"/>
  <c r="CE44" s="1"/>
  <c r="BC44"/>
  <c r="BC24"/>
  <c r="AG67"/>
  <c r="BC34"/>
  <c r="AO62"/>
  <c r="BA62" s="1"/>
  <c r="BN62"/>
  <c r="BT62" s="1"/>
  <c r="AN59"/>
  <c r="AZ59" s="1"/>
  <c r="BO59"/>
  <c r="BU59" s="1"/>
  <c r="CA59" s="1"/>
  <c r="AM54"/>
  <c r="AY54" s="1"/>
  <c r="BN54"/>
  <c r="BT54" s="1"/>
  <c r="BZ54" s="1"/>
  <c r="AO48"/>
  <c r="BA48" s="1"/>
  <c r="BL48"/>
  <c r="BR48" s="1"/>
  <c r="BX48" s="1"/>
  <c r="AP44"/>
  <c r="BB44" s="1"/>
  <c r="AV44"/>
  <c r="AP42"/>
  <c r="BB42" s="1"/>
  <c r="AV42"/>
  <c r="U39"/>
  <c r="T39"/>
  <c r="T35"/>
  <c r="AN34"/>
  <c r="AZ34" s="1"/>
  <c r="AT34"/>
  <c r="T17"/>
  <c r="U17" s="1"/>
  <c r="U13"/>
  <c r="T13"/>
  <c r="T9"/>
  <c r="U9" s="1"/>
  <c r="U5"/>
  <c r="T5"/>
  <c r="T2"/>
  <c r="U2" s="1"/>
  <c r="AM60"/>
  <c r="AY60" s="1"/>
  <c r="BN60"/>
  <c r="BT60" s="1"/>
  <c r="AP58"/>
  <c r="BB58" s="1"/>
  <c r="AV58"/>
  <c r="AM50"/>
  <c r="AY50" s="1"/>
  <c r="BN50"/>
  <c r="BT50" s="1"/>
  <c r="AN49"/>
  <c r="AZ49" s="1"/>
  <c r="BC49" s="1"/>
  <c r="BO49"/>
  <c r="BU49" s="1"/>
  <c r="CA49" s="1"/>
  <c r="AO33"/>
  <c r="BA33" s="1"/>
  <c r="AN33"/>
  <c r="AZ33" s="1"/>
  <c r="AN32"/>
  <c r="AZ32" s="1"/>
  <c r="AM32"/>
  <c r="AY32" s="1"/>
  <c r="BC32" s="1"/>
  <c r="U31"/>
  <c r="AP31"/>
  <c r="BB31" s="1"/>
  <c r="AV31"/>
  <c r="AP30"/>
  <c r="BB30" s="1"/>
  <c r="AV30"/>
  <c r="AP26"/>
  <c r="BB26" s="1"/>
  <c r="AV26"/>
  <c r="AN57"/>
  <c r="AZ57" s="1"/>
  <c r="BC57" s="1"/>
  <c r="BO57"/>
  <c r="BU57" s="1"/>
  <c r="CA57" s="1"/>
  <c r="CB57" s="1"/>
  <c r="AO56"/>
  <c r="BA56" s="1"/>
  <c r="BC56" s="1"/>
  <c r="BL56"/>
  <c r="BR56" s="1"/>
  <c r="BX56" s="1"/>
  <c r="AO45"/>
  <c r="BA45" s="1"/>
  <c r="BL45"/>
  <c r="BR45" s="1"/>
  <c r="BX45" s="1"/>
  <c r="U34"/>
  <c r="T34"/>
  <c r="U27"/>
  <c r="T27"/>
  <c r="AO24"/>
  <c r="BA24" s="1"/>
  <c r="AN24"/>
  <c r="AZ24" s="1"/>
  <c r="AN53"/>
  <c r="AZ53" s="1"/>
  <c r="BC53" s="1"/>
  <c r="BO53"/>
  <c r="BU53" s="1"/>
  <c r="CA53" s="1"/>
  <c r="CB53" s="1"/>
  <c r="AO52"/>
  <c r="BA52" s="1"/>
  <c r="BC52" s="1"/>
  <c r="BL52"/>
  <c r="BR52" s="1"/>
  <c r="BX52" s="1"/>
  <c r="AN46"/>
  <c r="AZ46" s="1"/>
  <c r="BC46" s="1"/>
  <c r="BO46"/>
  <c r="BU46" s="1"/>
  <c r="CA46" s="1"/>
  <c r="AM43"/>
  <c r="AY43" s="1"/>
  <c r="BC43" s="1"/>
  <c r="BN43"/>
  <c r="BT43" s="1"/>
  <c r="BZ43" s="1"/>
  <c r="AN41"/>
  <c r="AZ41" s="1"/>
  <c r="AM41"/>
  <c r="AY41" s="1"/>
  <c r="U40"/>
  <c r="AP40"/>
  <c r="BB40" s="1"/>
  <c r="AV40"/>
  <c r="AO38"/>
  <c r="BA38" s="1"/>
  <c r="AN38"/>
  <c r="AZ38" s="1"/>
  <c r="BC38" s="1"/>
  <c r="AN37"/>
  <c r="AZ37" s="1"/>
  <c r="AM37"/>
  <c r="AY37" s="1"/>
  <c r="BC37" s="1"/>
  <c r="U36"/>
  <c r="AP36"/>
  <c r="BB36" s="1"/>
  <c r="AV36"/>
  <c r="AN29"/>
  <c r="AZ29" s="1"/>
  <c r="AM29"/>
  <c r="AY29" s="1"/>
  <c r="U28"/>
  <c r="AP28"/>
  <c r="BB28" s="1"/>
  <c r="AV28"/>
  <c r="AP22"/>
  <c r="BB22" s="1"/>
  <c r="AV22"/>
  <c r="AP20"/>
  <c r="BB20" s="1"/>
  <c r="AV20"/>
  <c r="AP18"/>
  <c r="BB18" s="1"/>
  <c r="AV18"/>
  <c r="CB60"/>
  <c r="BY59"/>
  <c r="CB50"/>
  <c r="BY49"/>
  <c r="BC40"/>
  <c r="BC36"/>
  <c r="BC27"/>
  <c r="BC23"/>
  <c r="BC21"/>
  <c r="BC19"/>
  <c r="AM62"/>
  <c r="AY62" s="1"/>
  <c r="BC62" s="1"/>
  <c r="AJ62"/>
  <c r="AK62" s="1"/>
  <c r="BX60"/>
  <c r="BN59"/>
  <c r="BT59" s="1"/>
  <c r="AO59"/>
  <c r="BA59" s="1"/>
  <c r="BC59" s="1"/>
  <c r="BY57"/>
  <c r="CC57" s="1"/>
  <c r="CE57" s="1"/>
  <c r="U57"/>
  <c r="BM54"/>
  <c r="BS54" s="1"/>
  <c r="AN54"/>
  <c r="AZ54" s="1"/>
  <c r="R53"/>
  <c r="BX50"/>
  <c r="BN48"/>
  <c r="BT48" s="1"/>
  <c r="BZ48" s="1"/>
  <c r="AN48"/>
  <c r="AZ48" s="1"/>
  <c r="BY48" s="1"/>
  <c r="U47"/>
  <c r="T46"/>
  <c r="U42"/>
  <c r="U38"/>
  <c r="AE34"/>
  <c r="AG34" s="1"/>
  <c r="AM30"/>
  <c r="AY30" s="1"/>
  <c r="U25"/>
  <c r="Q2"/>
  <c r="Q3" s="1"/>
  <c r="Q4" s="1"/>
  <c r="Q5" s="1"/>
  <c r="Q6" s="1"/>
  <c r="Q7" s="1"/>
  <c r="Q8" s="1"/>
  <c r="Q9" s="1"/>
  <c r="Q10" s="1"/>
  <c r="Q11" s="1"/>
  <c r="Q12" s="1"/>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Q49" s="1"/>
  <c r="Q50" s="1"/>
  <c r="Q51" s="1"/>
  <c r="Q52" s="1"/>
  <c r="Q53" s="1"/>
  <c r="Q54" s="1"/>
  <c r="Q55" s="1"/>
  <c r="Q56" s="1"/>
  <c r="Q57" s="1"/>
  <c r="Q58" s="1"/>
  <c r="Q59" s="1"/>
  <c r="Q60" s="1"/>
  <c r="Q61" s="1"/>
  <c r="Q62" s="1"/>
  <c r="Q63" s="1"/>
  <c r="Q64" s="1"/>
  <c r="Q65" s="1"/>
  <c r="Q66" s="1"/>
  <c r="Q67" s="1"/>
  <c r="Q68" s="1"/>
  <c r="Q69" s="1"/>
  <c r="Q70" s="1"/>
  <c r="Q71" s="1"/>
  <c r="Q72" s="1"/>
  <c r="BL62"/>
  <c r="BR62" s="1"/>
  <c r="AN62"/>
  <c r="AZ62" s="1"/>
  <c r="BY61"/>
  <c r="CC61" s="1"/>
  <c r="CE61" s="1"/>
  <c r="BM60"/>
  <c r="BS60" s="1"/>
  <c r="BY60" s="1"/>
  <c r="AN60"/>
  <c r="AZ60" s="1"/>
  <c r="AJ58"/>
  <c r="AK58" s="1"/>
  <c r="U58"/>
  <c r="BZ56"/>
  <c r="BO54"/>
  <c r="BU54" s="1"/>
  <c r="CA54" s="1"/>
  <c r="AO54"/>
  <c r="BA54" s="1"/>
  <c r="U52"/>
  <c r="BZ51"/>
  <c r="CC51" s="1"/>
  <c r="CE51" s="1"/>
  <c r="R51"/>
  <c r="BM50"/>
  <c r="BS50" s="1"/>
  <c r="AN50"/>
  <c r="AZ50" s="1"/>
  <c r="BO48"/>
  <c r="BU48" s="1"/>
  <c r="CA48" s="1"/>
  <c r="CB48" s="1"/>
  <c r="AV48"/>
  <c r="AP48"/>
  <c r="BB48" s="1"/>
  <c r="BY46"/>
  <c r="CC46" s="1"/>
  <c r="CE46" s="1"/>
  <c r="BJ44"/>
  <c r="BP44" s="1"/>
  <c r="BV44" s="1"/>
  <c r="CB44" s="1"/>
  <c r="U44"/>
  <c r="CB43"/>
  <c r="U41"/>
  <c r="AV38"/>
  <c r="U37"/>
  <c r="BC31"/>
  <c r="AN30"/>
  <c r="AZ30" s="1"/>
  <c r="U30"/>
  <c r="U26"/>
  <c r="U63"/>
  <c r="D63"/>
  <c r="BM62"/>
  <c r="BS62" s="1"/>
  <c r="BY62" s="1"/>
  <c r="BO60"/>
  <c r="BU60" s="1"/>
  <c r="CA60" s="1"/>
  <c r="AO60"/>
  <c r="BA60" s="1"/>
  <c r="BL59"/>
  <c r="BR59" s="1"/>
  <c r="BX59" s="1"/>
  <c r="T59"/>
  <c r="BN58"/>
  <c r="BT58" s="1"/>
  <c r="BZ58" s="1"/>
  <c r="AM58"/>
  <c r="AY58" s="1"/>
  <c r="AV57"/>
  <c r="AP57"/>
  <c r="BB57" s="1"/>
  <c r="AJ57"/>
  <c r="AK57" s="1"/>
  <c r="BO56"/>
  <c r="BU56" s="1"/>
  <c r="CA56" s="1"/>
  <c r="CB56" s="1"/>
  <c r="AP56"/>
  <c r="BB56" s="1"/>
  <c r="AJ56"/>
  <c r="AK56" s="1"/>
  <c r="BP54"/>
  <c r="BV54" s="1"/>
  <c r="CB54" s="1"/>
  <c r="AP54"/>
  <c r="BB54" s="1"/>
  <c r="BY53"/>
  <c r="CC53" s="1"/>
  <c r="CE53" s="1"/>
  <c r="BZ52"/>
  <c r="BO50"/>
  <c r="BU50" s="1"/>
  <c r="CA50" s="1"/>
  <c r="AO50"/>
  <c r="BA50" s="1"/>
  <c r="BL49"/>
  <c r="BR49" s="1"/>
  <c r="BX49" s="1"/>
  <c r="CC49" s="1"/>
  <c r="U48"/>
  <c r="T47"/>
  <c r="BN45"/>
  <c r="BT45" s="1"/>
  <c r="AN45"/>
  <c r="AZ45" s="1"/>
  <c r="BX43"/>
  <c r="CC43" s="1"/>
  <c r="CE43" s="1"/>
  <c r="AV41"/>
  <c r="AV37"/>
  <c r="AM33"/>
  <c r="AY33" s="1"/>
  <c r="BC33" s="1"/>
  <c r="U33"/>
  <c r="BC28"/>
  <c r="AM22"/>
  <c r="AY22" s="1"/>
  <c r="BC22" s="1"/>
  <c r="AM20"/>
  <c r="AY20" s="1"/>
  <c r="BC20" s="1"/>
  <c r="AM18"/>
  <c r="AY18" s="1"/>
  <c r="BC18" s="1"/>
  <c r="E63" l="1"/>
  <c r="F63"/>
  <c r="D64"/>
  <c r="AP35"/>
  <c r="BB35" s="1"/>
  <c r="AV35"/>
  <c r="AJ61"/>
  <c r="AK61" s="1"/>
  <c r="AP61"/>
  <c r="BB61" s="1"/>
  <c r="AV61"/>
  <c r="BJ61"/>
  <c r="BP61" s="1"/>
  <c r="BV61" s="1"/>
  <c r="CB61" s="1"/>
  <c r="CC48"/>
  <c r="CB49"/>
  <c r="BY45"/>
  <c r="CC45" s="1"/>
  <c r="CE45" s="1"/>
  <c r="BC45"/>
  <c r="AP27"/>
  <c r="BB27" s="1"/>
  <c r="AV27"/>
  <c r="BC29"/>
  <c r="BC41"/>
  <c r="BC50"/>
  <c r="BC60"/>
  <c r="BC54"/>
  <c r="U61"/>
  <c r="BJ59"/>
  <c r="BP59" s="1"/>
  <c r="BV59" s="1"/>
  <c r="CB59" s="1"/>
  <c r="AJ59"/>
  <c r="AK59" s="1"/>
  <c r="AP59"/>
  <c r="BB59" s="1"/>
  <c r="AV59"/>
  <c r="U59"/>
  <c r="AP47"/>
  <c r="BB47" s="1"/>
  <c r="AV47"/>
  <c r="BJ47"/>
  <c r="BP47" s="1"/>
  <c r="BV47" s="1"/>
  <c r="CB47" s="1"/>
  <c r="AP39"/>
  <c r="BB39" s="1"/>
  <c r="AV39"/>
  <c r="CE49"/>
  <c r="BZ50"/>
  <c r="BZ60"/>
  <c r="CC60" s="1"/>
  <c r="CE60" s="1"/>
  <c r="BZ62"/>
  <c r="BX58"/>
  <c r="CC58" s="1"/>
  <c r="BC58"/>
  <c r="BJ46"/>
  <c r="BP46" s="1"/>
  <c r="BV46" s="1"/>
  <c r="CB46" s="1"/>
  <c r="AP46"/>
  <c r="BB46" s="1"/>
  <c r="AV46"/>
  <c r="AP34"/>
  <c r="BB34" s="1"/>
  <c r="AV34"/>
  <c r="BX62"/>
  <c r="CC62" s="1"/>
  <c r="CE62" s="1"/>
  <c r="BZ45"/>
  <c r="BY50"/>
  <c r="CC50" s="1"/>
  <c r="CE50" s="1"/>
  <c r="BC30"/>
  <c r="BY54"/>
  <c r="BZ59"/>
  <c r="CC59" s="1"/>
  <c r="CE59" s="1"/>
  <c r="BX54"/>
  <c r="CC54" s="1"/>
  <c r="CE54" s="1"/>
  <c r="CC52"/>
  <c r="CE52" s="1"/>
  <c r="CC56"/>
  <c r="CE56" s="1"/>
  <c r="U35"/>
  <c r="BC48"/>
  <c r="U46"/>
  <c r="AM63" l="1"/>
  <c r="AY63" s="1"/>
  <c r="BC63" s="1"/>
  <c r="AO63"/>
  <c r="BA63" s="1"/>
  <c r="BL63"/>
  <c r="BR63" s="1"/>
  <c r="AN63"/>
  <c r="AZ63" s="1"/>
  <c r="BO63"/>
  <c r="BU63" s="1"/>
  <c r="CA63" s="1"/>
  <c r="BN63"/>
  <c r="BT63" s="1"/>
  <c r="BZ63" s="1"/>
  <c r="AP63"/>
  <c r="BB63" s="1"/>
  <c r="BM63"/>
  <c r="BS63" s="1"/>
  <c r="BY63" s="1"/>
  <c r="AQ63"/>
  <c r="BD63" s="1"/>
  <c r="BP63"/>
  <c r="BV63" s="1"/>
  <c r="F64"/>
  <c r="E64"/>
  <c r="CE58"/>
  <c r="CE48"/>
  <c r="AO64" l="1"/>
  <c r="BA64" s="1"/>
  <c r="BN64"/>
  <c r="BT64" s="1"/>
  <c r="AN64"/>
  <c r="AZ64" s="1"/>
  <c r="BM64"/>
  <c r="BS64" s="1"/>
  <c r="AM64"/>
  <c r="AY64" s="1"/>
  <c r="BC64" s="1"/>
  <c r="AQ64"/>
  <c r="BD64" s="1"/>
  <c r="BL64"/>
  <c r="BR64" s="1"/>
  <c r="BO64"/>
  <c r="BU64" s="1"/>
  <c r="CA64" s="1"/>
  <c r="AP64"/>
  <c r="BB64" s="1"/>
  <c r="BP64"/>
  <c r="BV64" s="1"/>
  <c r="CB64" s="1"/>
  <c r="CB63"/>
  <c r="BX63"/>
  <c r="CC63" s="1"/>
  <c r="CE63" s="1"/>
  <c r="BZ64" l="1"/>
  <c r="BX64"/>
  <c r="BY64"/>
  <c r="CC64" l="1"/>
  <c r="CE64" s="1"/>
</calcChain>
</file>

<file path=xl/comments1.xml><?xml version="1.0" encoding="utf-8"?>
<comments xmlns="http://schemas.openxmlformats.org/spreadsheetml/2006/main">
  <authors>
    <author>rob_c</author>
    <author>Analyst</author>
  </authors>
  <commentList>
    <comment ref="C1" authorId="0">
      <text>
        <r>
          <rPr>
            <b/>
            <sz val="8"/>
            <color indexed="81"/>
            <rFont val="Tahoma"/>
            <family val="2"/>
          </rPr>
          <t>rob_c:</t>
        </r>
        <r>
          <rPr>
            <sz val="8"/>
            <color indexed="81"/>
            <rFont val="Tahoma"/>
            <family val="2"/>
          </rPr>
          <t xml:space="preserve">
Source:  Alaska Department of Labor and Workforce Development, Alaska Population Projections 2012 to 2042, downloadable Excel files, Statewide (http://laborstats.alaska.gov/pop/popproj.htm), (Excel file State Projections), Annual Components of Population Change for Alaska, 2012-2042, Baseline End of Period Population Projections,  downloaded August 29, 2014.
</t>
        </r>
      </text>
    </comment>
    <comment ref="D1" authorId="0">
      <text>
        <r>
          <rPr>
            <b/>
            <sz val="8"/>
            <color indexed="81"/>
            <rFont val="Tahoma"/>
            <family val="2"/>
          </rPr>
          <t>rob_c:</t>
        </r>
        <r>
          <rPr>
            <sz val="8"/>
            <color indexed="81"/>
            <rFont val="Tahoma"/>
            <family val="2"/>
          </rPr>
          <t xml:space="preserve">
"Consumer Price Index for Anchorage Municipality &amp; U.S.
Not Seasonally Adjusted
All Items - All.1 Urban Consumers
(CPI-U) 1960-Present"
</t>
        </r>
      </text>
    </comment>
    <comment ref="A2" authorId="0">
      <text>
        <r>
          <rPr>
            <b/>
            <sz val="8"/>
            <color indexed="81"/>
            <rFont val="Tahoma"/>
            <family val="2"/>
          </rPr>
          <t>rob_c:</t>
        </r>
        <r>
          <rPr>
            <sz val="8"/>
            <color indexed="81"/>
            <rFont val="Tahoma"/>
            <family val="2"/>
          </rPr>
          <t xml:space="preserve">
Alaska Statehood January 3, 1959</t>
        </r>
      </text>
    </comment>
    <comment ref="AD24" authorId="0">
      <text>
        <r>
          <rPr>
            <b/>
            <sz val="10"/>
            <color indexed="81"/>
            <rFont val="Tahoma"/>
            <family val="2"/>
          </rPr>
          <t>rob_c:</t>
        </r>
        <r>
          <rPr>
            <sz val="10"/>
            <color indexed="81"/>
            <rFont val="Tahoma"/>
            <family val="2"/>
          </rPr>
          <t xml:space="preserve">
supplemental from SLA82</t>
        </r>
      </text>
    </comment>
    <comment ref="AI24" authorId="0">
      <text>
        <r>
          <rPr>
            <b/>
            <sz val="10"/>
            <color indexed="81"/>
            <rFont val="Tahoma"/>
            <family val="2"/>
          </rPr>
          <t>rob_c:</t>
        </r>
        <r>
          <rPr>
            <sz val="10"/>
            <color indexed="81"/>
            <rFont val="Tahoma"/>
            <family val="2"/>
          </rPr>
          <t xml:space="preserve">
900 million GF to Perm Fund</t>
        </r>
      </text>
    </comment>
    <comment ref="G25" authorId="0">
      <text>
        <r>
          <rPr>
            <b/>
            <sz val="10"/>
            <color indexed="81"/>
            <rFont val="Tahoma"/>
            <family val="2"/>
          </rPr>
          <t>rob_c:</t>
        </r>
        <r>
          <rPr>
            <sz val="10"/>
            <color indexed="81"/>
            <rFont val="Tahoma"/>
            <family val="2"/>
          </rPr>
          <t xml:space="preserve">
ANS West Coast not available FY82-86.  Used WTI less $2.50 (average differential to ANS).</t>
        </r>
      </text>
    </comment>
    <comment ref="AI25" authorId="0">
      <text>
        <r>
          <rPr>
            <b/>
            <sz val="10"/>
            <color indexed="81"/>
            <rFont val="Tahoma"/>
            <family val="2"/>
          </rPr>
          <t>rob_c:</t>
        </r>
        <r>
          <rPr>
            <sz val="10"/>
            <color indexed="81"/>
            <rFont val="Tahoma"/>
            <family val="2"/>
          </rPr>
          <t xml:space="preserve">
1.8 billion GF to Perm Fund</t>
        </r>
      </text>
    </comment>
    <comment ref="AI28" authorId="0">
      <text>
        <r>
          <rPr>
            <b/>
            <sz val="10"/>
            <color indexed="81"/>
            <rFont val="Tahoma"/>
            <family val="2"/>
          </rPr>
          <t>rob_c:</t>
        </r>
        <r>
          <rPr>
            <sz val="10"/>
            <color indexed="81"/>
            <rFont val="Tahoma"/>
            <family val="2"/>
          </rPr>
          <t xml:space="preserve">
Power Development Revolving Loan Fund (Sec 313, Ch 171, SLA 84)</t>
        </r>
      </text>
    </comment>
    <comment ref="AI29" authorId="0">
      <text>
        <r>
          <rPr>
            <b/>
            <sz val="10"/>
            <color indexed="81"/>
            <rFont val="Tahoma"/>
            <family val="2"/>
          </rPr>
          <t>rob_c:</t>
        </r>
        <r>
          <rPr>
            <sz val="10"/>
            <color indexed="81"/>
            <rFont val="Tahoma"/>
            <family val="2"/>
          </rPr>
          <t xml:space="preserve">
Loans</t>
        </r>
      </text>
    </comment>
    <comment ref="AI30" authorId="0">
      <text>
        <r>
          <rPr>
            <b/>
            <sz val="10"/>
            <color indexed="81"/>
            <rFont val="Tahoma"/>
            <family val="2"/>
          </rPr>
          <t>rob_c:</t>
        </r>
        <r>
          <rPr>
            <sz val="10"/>
            <color indexed="81"/>
            <rFont val="Tahoma"/>
            <family val="2"/>
          </rPr>
          <t xml:space="preserve">
Scholarship Revolving Loan Fund (Sec, 2, Ch 128, SLA 86)</t>
        </r>
      </text>
    </comment>
    <comment ref="AI31" authorId="0">
      <text>
        <r>
          <rPr>
            <b/>
            <sz val="10"/>
            <color indexed="81"/>
            <rFont val="Tahoma"/>
            <family val="2"/>
          </rPr>
          <t>rob_c:</t>
        </r>
        <r>
          <rPr>
            <sz val="10"/>
            <color indexed="81"/>
            <rFont val="Tahoma"/>
            <family val="2"/>
          </rPr>
          <t xml:space="preserve">
To Statutory Budget Reserve Fund (Ch. 5, FSSLA 87); Repealed in SLA 88.</t>
        </r>
      </text>
    </comment>
    <comment ref="AI32" authorId="0">
      <text>
        <r>
          <rPr>
            <b/>
            <sz val="10"/>
            <color indexed="81"/>
            <rFont val="Tahoma"/>
            <family val="2"/>
          </rPr>
          <t>rob_c:</t>
        </r>
        <r>
          <rPr>
            <sz val="10"/>
            <color indexed="81"/>
            <rFont val="Tahoma"/>
            <family val="2"/>
          </rPr>
          <t xml:space="preserve">
34 million to Science and Tech Endowment (Sec 189, Ch 173, SLA 88)</t>
        </r>
      </text>
    </comment>
    <comment ref="AI33" authorId="0">
      <text>
        <r>
          <rPr>
            <b/>
            <sz val="10"/>
            <color indexed="81"/>
            <rFont val="Tahoma"/>
            <family val="2"/>
          </rPr>
          <t>rob_c:</t>
        </r>
        <r>
          <rPr>
            <sz val="10"/>
            <color indexed="81"/>
            <rFont val="Tahoma"/>
            <family val="2"/>
          </rPr>
          <t xml:space="preserve">
34 million to Science and Tech Endowment (Sec 189, Ch 173, SLA 88)</t>
        </r>
      </text>
    </comment>
    <comment ref="AD34" authorId="0">
      <text>
        <r>
          <rPr>
            <b/>
            <sz val="10"/>
            <color indexed="81"/>
            <rFont val="Tahoma"/>
            <family val="2"/>
          </rPr>
          <t xml:space="preserve">rob_c:
</t>
        </r>
        <r>
          <rPr>
            <sz val="10"/>
            <color indexed="81"/>
            <rFont val="Tahoma"/>
            <family val="2"/>
          </rPr>
          <t>$1.5 million for dividends (Sec 3, Ch 197, SLA 90)</t>
        </r>
      </text>
    </comment>
    <comment ref="AI34" authorId="0">
      <text>
        <r>
          <rPr>
            <b/>
            <sz val="10"/>
            <color indexed="81"/>
            <rFont val="Tahoma"/>
            <family val="2"/>
          </rPr>
          <t>rob_c:</t>
        </r>
        <r>
          <rPr>
            <sz val="10"/>
            <color indexed="81"/>
            <rFont val="Tahoma"/>
            <family val="2"/>
          </rPr>
          <t xml:space="preserve">
Remaining $32 million to Science and Tech Endowment (Sec 189, Ch 173, SLA 88); $30 million to Statutory Budget Reserve Fund (Sec 20(a), Ch 209, SLA 90); $696.257 million (GF Balance) to Statutory Budget Reserve Fund (Sec 20(b), Ch 209, SLA 90) - for cash flow purposes the entire balance was not xferred to SBR.  Furthermore, in the subsequent fiscal year, the legislature appropriated the amount necessary to balance the budget from the SBR.  The end result was a </t>
        </r>
      </text>
    </comment>
    <comment ref="AI35" authorId="0">
      <text>
        <r>
          <rPr>
            <b/>
            <sz val="10"/>
            <color indexed="81"/>
            <rFont val="Tahoma"/>
            <family val="2"/>
          </rPr>
          <t>rob_c:</t>
        </r>
        <r>
          <rPr>
            <sz val="10"/>
            <color indexed="81"/>
            <rFont val="Tahoma"/>
            <family val="2"/>
          </rPr>
          <t xml:space="preserve">
$45 million to ILTF (Sec 1, Ch 41, SLA91); $93.1 from SBR to ILTF - net zero xfer(Sec 2, Ch 41, SLA91); $28.5 to Oil and Haz Fund (Sec 20(a), Ch 73, SLA91)</t>
        </r>
      </text>
    </comment>
    <comment ref="AI37" authorId="0">
      <text>
        <r>
          <rPr>
            <b/>
            <sz val="10"/>
            <color indexed="81"/>
            <rFont val="Tahoma"/>
            <family val="2"/>
          </rPr>
          <t>rob_c:</t>
        </r>
        <r>
          <rPr>
            <sz val="10"/>
            <color indexed="81"/>
            <rFont val="Tahoma"/>
            <family val="2"/>
          </rPr>
          <t xml:space="preserve">
Includes $66.9 and $13.2 million to Railbelt Energy Fund (Sec 8(a,b), Ch 19, SLA93); $66.9 from Railbelt to PCE Fund (Sec 8(c ), Ch 19, SLA93)</t>
        </r>
      </text>
    </comment>
    <comment ref="AI38" authorId="0">
      <text>
        <r>
          <rPr>
            <b/>
            <sz val="10"/>
            <color indexed="81"/>
            <rFont val="Tahoma"/>
            <family val="2"/>
          </rPr>
          <t>rob_c:</t>
        </r>
        <r>
          <rPr>
            <sz val="10"/>
            <color indexed="81"/>
            <rFont val="Tahoma"/>
            <family val="2"/>
          </rPr>
          <t xml:space="preserve">
To Mental Health Trust Fund (Sec1, Ch6, FSSLA94)</t>
        </r>
      </text>
    </comment>
    <comment ref="T49" authorId="0">
      <text>
        <r>
          <rPr>
            <b/>
            <sz val="10"/>
            <color indexed="81"/>
            <rFont val="Tahoma"/>
            <family val="2"/>
          </rPr>
          <t>rob_c:</t>
        </r>
        <r>
          <rPr>
            <sz val="10"/>
            <color indexed="81"/>
            <rFont val="Tahoma"/>
            <family val="2"/>
          </rPr>
          <t xml:space="preserve">
PPT effective with retroactivity to last quarter FY06</t>
        </r>
      </text>
    </comment>
    <comment ref="T51" authorId="0">
      <text>
        <r>
          <rPr>
            <b/>
            <sz val="10"/>
            <color indexed="81"/>
            <rFont val="Tahoma"/>
            <family val="2"/>
          </rPr>
          <t>rob_c:</t>
        </r>
        <r>
          <rPr>
            <sz val="10"/>
            <color indexed="81"/>
            <rFont val="Tahoma"/>
            <family val="2"/>
          </rPr>
          <t xml:space="preserve">
ACES effective July, 1 2007 (FY08)</t>
        </r>
      </text>
    </comment>
    <comment ref="S61" authorId="1">
      <text>
        <r>
          <rPr>
            <b/>
            <sz val="8"/>
            <color indexed="81"/>
            <rFont val="Tahoma"/>
            <family val="2"/>
          </rPr>
          <t>Analyst:</t>
        </r>
        <r>
          <rPr>
            <sz val="8"/>
            <color indexed="81"/>
            <rFont val="Tahoma"/>
            <family val="2"/>
          </rPr>
          <t xml:space="preserve">
per Fiscal Summary
</t>
        </r>
      </text>
    </comment>
    <comment ref="R62" authorId="1">
      <text>
        <r>
          <rPr>
            <b/>
            <sz val="8"/>
            <color indexed="81"/>
            <rFont val="Tahoma"/>
            <family val="2"/>
          </rPr>
          <t>Analyst:</t>
        </r>
        <r>
          <rPr>
            <sz val="8"/>
            <color indexed="81"/>
            <rFont val="Tahoma"/>
            <family val="2"/>
          </rPr>
          <t xml:space="preserve">
Calculated by Total Non-Pet Rev + non PFD investment earnings from Fall Revenue Sources book.
</t>
        </r>
      </text>
    </comment>
    <comment ref="V62" authorId="1">
      <text>
        <r>
          <rPr>
            <b/>
            <sz val="8"/>
            <color indexed="81"/>
            <rFont val="Tahoma"/>
            <family val="2"/>
          </rPr>
          <t>Analyst:</t>
        </r>
        <r>
          <rPr>
            <sz val="8"/>
            <color indexed="81"/>
            <rFont val="Tahoma"/>
            <family val="2"/>
          </rPr>
          <t xml:space="preserve">
reduced by dividend transfer. $2722.60 - $1023.49
Actuals amount was slightly higher at $1,044.5</t>
        </r>
      </text>
    </comment>
    <comment ref="W62" authorId="1">
      <text>
        <r>
          <rPr>
            <b/>
            <sz val="8"/>
            <color indexed="81"/>
            <rFont val="Tahoma"/>
            <family val="2"/>
          </rPr>
          <t>Analyst:</t>
        </r>
        <r>
          <rPr>
            <sz val="8"/>
            <color indexed="81"/>
            <rFont val="Tahoma"/>
            <family val="2"/>
          </rPr>
          <t xml:space="preserve">
Total UGF including PMV minus Dividend transfer amount. 
</t>
        </r>
      </text>
    </comment>
    <comment ref="BF62" authorId="1">
      <text>
        <r>
          <rPr>
            <b/>
            <sz val="8"/>
            <color indexed="81"/>
            <rFont val="Tahoma"/>
            <family val="2"/>
          </rPr>
          <t>Analyst:</t>
        </r>
        <r>
          <rPr>
            <sz val="8"/>
            <color indexed="81"/>
            <rFont val="Tahoma"/>
            <family val="2"/>
          </rPr>
          <t xml:space="preserve">
Data from FnlBudget</t>
        </r>
      </text>
    </comment>
    <comment ref="C63" authorId="1">
      <text>
        <r>
          <rPr>
            <b/>
            <sz val="8"/>
            <color indexed="81"/>
            <rFont val="Tahoma"/>
            <family val="2"/>
          </rPr>
          <t>Analyst:</t>
        </r>
        <r>
          <rPr>
            <sz val="8"/>
            <color indexed="81"/>
            <rFont val="Tahoma"/>
            <family val="2"/>
          </rPr>
          <t xml:space="preserve">
DLWD Low case projection</t>
        </r>
      </text>
    </comment>
    <comment ref="R63" authorId="1">
      <text>
        <r>
          <rPr>
            <b/>
            <sz val="8"/>
            <color indexed="81"/>
            <rFont val="Tahoma"/>
            <family val="2"/>
          </rPr>
          <t>Analyst:</t>
        </r>
        <r>
          <rPr>
            <sz val="8"/>
            <color indexed="81"/>
            <rFont val="Tahoma"/>
            <family val="2"/>
          </rPr>
          <t xml:space="preserve">
Calculated by Total Non-Pet Rev + non PFD investment earnings from Fall Revenue Sources book.</t>
        </r>
      </text>
    </comment>
    <comment ref="BF63" authorId="1">
      <text>
        <r>
          <rPr>
            <b/>
            <sz val="8"/>
            <color indexed="81"/>
            <rFont val="Tahoma"/>
            <family val="2"/>
          </rPr>
          <t>Analyst:</t>
        </r>
        <r>
          <rPr>
            <sz val="8"/>
            <color indexed="81"/>
            <rFont val="Tahoma"/>
            <family val="2"/>
          </rPr>
          <t xml:space="preserve">
Data from Management Plan</t>
        </r>
      </text>
    </comment>
    <comment ref="BF64" authorId="1">
      <text>
        <r>
          <rPr>
            <b/>
            <sz val="8"/>
            <color indexed="81"/>
            <rFont val="Tahoma"/>
            <family val="2"/>
          </rPr>
          <t>Analyst:</t>
        </r>
        <r>
          <rPr>
            <sz val="8"/>
            <color indexed="81"/>
            <rFont val="Tahoma"/>
            <family val="2"/>
          </rPr>
          <t xml:space="preserve">
Data from GOV</t>
        </r>
      </text>
    </comment>
    <comment ref="R65" authorId="1">
      <text>
        <r>
          <rPr>
            <b/>
            <sz val="8"/>
            <color indexed="81"/>
            <rFont val="Tahoma"/>
            <family val="2"/>
          </rPr>
          <t>Analyst:</t>
        </r>
        <r>
          <rPr>
            <sz val="8"/>
            <color indexed="81"/>
            <rFont val="Tahoma"/>
            <family val="2"/>
          </rPr>
          <t xml:space="preserve">
Calculation changes in outyears based on data entry from RSB in the T column.</t>
        </r>
      </text>
    </comment>
    <comment ref="T65" authorId="1">
      <text>
        <r>
          <rPr>
            <b/>
            <sz val="8"/>
            <color indexed="81"/>
            <rFont val="Tahoma"/>
            <family val="2"/>
          </rPr>
          <t>Analyst:</t>
        </r>
        <r>
          <rPr>
            <sz val="8"/>
            <color indexed="81"/>
            <rFont val="Tahoma"/>
            <family val="2"/>
          </rPr>
          <t xml:space="preserve">
Formula changes for outyear calculations. Manual Data entry from RSB.</t>
        </r>
      </text>
    </comment>
    <comment ref="W65" authorId="1">
      <text>
        <r>
          <rPr>
            <b/>
            <sz val="8"/>
            <color indexed="81"/>
            <rFont val="Tahoma"/>
            <family val="2"/>
          </rPr>
          <t>Analyst:</t>
        </r>
        <r>
          <rPr>
            <sz val="8"/>
            <color indexed="81"/>
            <rFont val="Tahoma"/>
            <family val="2"/>
          </rPr>
          <t xml:space="preserve">
First outyear without PFD transfer subtracted. </t>
        </r>
      </text>
    </comment>
  </commentList>
</comments>
</file>

<file path=xl/sharedStrings.xml><?xml version="1.0" encoding="utf-8"?>
<sst xmlns="http://schemas.openxmlformats.org/spreadsheetml/2006/main" count="209" uniqueCount="156">
  <si>
    <t>From Fiscal Summary in 2020 Overview</t>
  </si>
  <si>
    <t>DOR Fall 2019 Revenue Forecast</t>
  </si>
  <si>
    <t>FY29</t>
  </si>
  <si>
    <t>FY28</t>
  </si>
  <si>
    <t>10yr Mean</t>
  </si>
  <si>
    <t>FY27</t>
  </si>
  <si>
    <t>FY26</t>
  </si>
  <si>
    <t>FY25</t>
  </si>
  <si>
    <t>FY24</t>
  </si>
  <si>
    <t>FY23</t>
  </si>
  <si>
    <t>FY22</t>
  </si>
  <si>
    <t>Dunleavy</t>
  </si>
  <si>
    <t>FY21</t>
  </si>
  <si>
    <t>FY20</t>
  </si>
  <si>
    <t>Walker</t>
  </si>
  <si>
    <t>FY19</t>
  </si>
  <si>
    <t>FY18</t>
  </si>
  <si>
    <t>FY17</t>
  </si>
  <si>
    <t>FY16</t>
  </si>
  <si>
    <t>Parnell</t>
  </si>
  <si>
    <t>FY15</t>
  </si>
  <si>
    <t>FY14</t>
  </si>
  <si>
    <t>FY13</t>
  </si>
  <si>
    <t>FY12</t>
  </si>
  <si>
    <t>FY11</t>
  </si>
  <si>
    <t>FY10</t>
  </si>
  <si>
    <t>Palin</t>
  </si>
  <si>
    <t>FY09</t>
  </si>
  <si>
    <t>FY08</t>
  </si>
  <si>
    <t>FY07</t>
  </si>
  <si>
    <t>Murkow</t>
  </si>
  <si>
    <t>FY06</t>
  </si>
  <si>
    <t>FY05</t>
  </si>
  <si>
    <t>FY04</t>
  </si>
  <si>
    <t>FY03</t>
  </si>
  <si>
    <t>Knowles</t>
  </si>
  <si>
    <t>FY02</t>
  </si>
  <si>
    <t>FY01</t>
  </si>
  <si>
    <t>FY00</t>
  </si>
  <si>
    <t>FY99</t>
  </si>
  <si>
    <t>FY98</t>
  </si>
  <si>
    <t>FY97</t>
  </si>
  <si>
    <t>FY96</t>
  </si>
  <si>
    <t>FY95</t>
  </si>
  <si>
    <t>Hickel</t>
  </si>
  <si>
    <t>FY94</t>
  </si>
  <si>
    <t>FY93</t>
  </si>
  <si>
    <t>FY92</t>
  </si>
  <si>
    <t>FY91</t>
  </si>
  <si>
    <t>Cowper</t>
  </si>
  <si>
    <t>FY90</t>
  </si>
  <si>
    <t>FY89</t>
  </si>
  <si>
    <t>FY88</t>
  </si>
  <si>
    <t>FY87</t>
  </si>
  <si>
    <t>Sheffield</t>
  </si>
  <si>
    <t>FY86</t>
  </si>
  <si>
    <t>FY85</t>
  </si>
  <si>
    <t>FY84</t>
  </si>
  <si>
    <t>FY83</t>
  </si>
  <si>
    <t>Hammond</t>
  </si>
  <si>
    <t>FY82</t>
  </si>
  <si>
    <t>FY81</t>
  </si>
  <si>
    <t>FY80</t>
  </si>
  <si>
    <t>FY79</t>
  </si>
  <si>
    <t>FY78</t>
  </si>
  <si>
    <t>FY77</t>
  </si>
  <si>
    <t>FY76</t>
  </si>
  <si>
    <t>FY75</t>
  </si>
  <si>
    <t>Egan</t>
  </si>
  <si>
    <t>FY74</t>
  </si>
  <si>
    <t>FY73</t>
  </si>
  <si>
    <t>FY72</t>
  </si>
  <si>
    <t>FY71</t>
  </si>
  <si>
    <t>FY70</t>
  </si>
  <si>
    <t>FY69</t>
  </si>
  <si>
    <t>FY68</t>
  </si>
  <si>
    <t>FY67</t>
  </si>
  <si>
    <t>FY66</t>
  </si>
  <si>
    <t>FY65</t>
  </si>
  <si>
    <t>FY64</t>
  </si>
  <si>
    <t>FY63</t>
  </si>
  <si>
    <t>FY62</t>
  </si>
  <si>
    <t>FY61</t>
  </si>
  <si>
    <t>FY60</t>
  </si>
  <si>
    <t>FY59</t>
  </si>
  <si>
    <t>Real Per Cap Total Bud (DGF/Other/Fed)</t>
  </si>
  <si>
    <t>Real Per Cap Total Bud (All Funds)</t>
  </si>
  <si>
    <t>Real Per Cap Total Revenue w/ PFDs</t>
  </si>
  <si>
    <t>Real Per Cap Perm Funds</t>
  </si>
  <si>
    <t>Real Per Cap Capital (All Funds)</t>
  </si>
  <si>
    <t>Real Per Cap Stwd Ops (All Funds)</t>
  </si>
  <si>
    <t>Real Per Cap Agency Ops (All Funds)</t>
  </si>
  <si>
    <t>Real Per Cap Total Revenue</t>
  </si>
  <si>
    <t>Real Per Cap Capital (DGF/Other/Fed)</t>
  </si>
  <si>
    <t>Real Per Cap Stwd Ops (DGF/Other/Fed)</t>
  </si>
  <si>
    <t>Real Per Cap Agency Ops (DGF/Other/Fed)</t>
  </si>
  <si>
    <t>Real Total Revenue</t>
  </si>
  <si>
    <t>Real Perm Funds</t>
  </si>
  <si>
    <t>Real Capital (DGF/Other/Fed)</t>
  </si>
  <si>
    <t>Real Stwd Ops (DGF/Other/Fed)</t>
  </si>
  <si>
    <t>Real Agency Ops (DGF/Other/Fed)</t>
  </si>
  <si>
    <t>Total Revenue</t>
  </si>
  <si>
    <t>Perm Funds</t>
  </si>
  <si>
    <t>Capital (DGF/Other/Fed)</t>
  </si>
  <si>
    <t>Stwd Ops (DGF/Other/Fed)</t>
  </si>
  <si>
    <t>Agency Ops (DGF/Other/Fed)</t>
  </si>
  <si>
    <t>Real Per Capita POMV</t>
  </si>
  <si>
    <t>Real Per Cap Total Bud UGF</t>
  </si>
  <si>
    <t>Real Per Capita UGF Revenue</t>
  </si>
  <si>
    <t>Real Per Capita Capital</t>
  </si>
  <si>
    <t>Real Per Capita Statewide Ops</t>
  </si>
  <si>
    <t>Real Per Capita Agency Ops</t>
  </si>
  <si>
    <t>Per Capita UGF Revenue</t>
  </si>
  <si>
    <t>Per Capita Capital</t>
  </si>
  <si>
    <t>Per Capita Statewide Ops</t>
  </si>
  <si>
    <t>Per Capita Agency Ops</t>
  </si>
  <si>
    <t>Real POMV</t>
  </si>
  <si>
    <t>Real UGF Revenue</t>
  </si>
  <si>
    <t>Real Capital</t>
  </si>
  <si>
    <t>Real Statewide Ops</t>
  </si>
  <si>
    <t>Real Agency Ops</t>
  </si>
  <si>
    <t>Net Fund Transfers</t>
  </si>
  <si>
    <t>Budget Draws</t>
  </si>
  <si>
    <t>Fund Transfers</t>
  </si>
  <si>
    <t>Total Budget</t>
  </si>
  <si>
    <t>Capital</t>
  </si>
  <si>
    <t>Total Operating</t>
  </si>
  <si>
    <t>Statewide Ops</t>
  </si>
  <si>
    <t>Agency Ops</t>
  </si>
  <si>
    <t>Gov Rev Measures</t>
  </si>
  <si>
    <t>Gov New Taxes</t>
  </si>
  <si>
    <t>Gov Royalty to ERA</t>
  </si>
  <si>
    <t>Gov Prod Tax</t>
  </si>
  <si>
    <t>Total UGF w/ POMV</t>
  </si>
  <si>
    <t>Permanent Fund POMV</t>
  </si>
  <si>
    <t>% Petroleum of Total UGF Revenue</t>
  </si>
  <si>
    <t>Total UGF Revenue</t>
  </si>
  <si>
    <t>Carryforward other LFD Adjustments</t>
  </si>
  <si>
    <t>Other UGF Revenue</t>
  </si>
  <si>
    <t>Cumulative TOTAL Unrestricted Petroleum Revenue</t>
  </si>
  <si>
    <t>Total Unrestricted Petroleum Revenue</t>
  </si>
  <si>
    <t>Petroleum Special Settlements</t>
  </si>
  <si>
    <t>Bonuses, Rents, interest</t>
  </si>
  <si>
    <t>Royalties</t>
  </si>
  <si>
    <t>Haz Release</t>
  </si>
  <si>
    <t>Reserve Tax</t>
  </si>
  <si>
    <t>Production Tax</t>
  </si>
  <si>
    <t>Corporation Petroleum Income Tax</t>
  </si>
  <si>
    <t>Petroleum Property Tax</t>
  </si>
  <si>
    <t>ANS Average $/bbl</t>
  </si>
  <si>
    <t>CPI Deflator</t>
  </si>
  <si>
    <t>CPI % Change</t>
  </si>
  <si>
    <t>CPI</t>
  </si>
  <si>
    <t>Population</t>
  </si>
  <si>
    <t>Governor</t>
  </si>
  <si>
    <t>FY</t>
  </si>
</sst>
</file>

<file path=xl/styles.xml><?xml version="1.0" encoding="utf-8"?>
<styleSheet xmlns="http://schemas.openxmlformats.org/spreadsheetml/2006/main">
  <numFmts count="13">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_(* #,##0.0_);_(* \(#,##0.0\);_(* &quot;-&quot;?_);_(@_)"/>
    <numFmt numFmtId="168" formatCode="0.0%"/>
    <numFmt numFmtId="169" formatCode="0.000"/>
    <numFmt numFmtId="170" formatCode="0.0"/>
    <numFmt numFmtId="171" formatCode="[$$-409]\ #,##0"/>
    <numFmt numFmtId="172" formatCode="#,##0.0"/>
    <numFmt numFmtId="173" formatCode="#,##0.0_);[Red]\(#,##0.0\)"/>
  </numFmts>
  <fonts count="51">
    <font>
      <sz val="10"/>
      <name val="Arial"/>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2"/>
      <name val="Arial"/>
      <family val="2"/>
    </font>
    <font>
      <i/>
      <sz val="10"/>
      <name val="Arial"/>
      <family val="2"/>
    </font>
    <font>
      <b/>
      <sz val="8"/>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sz val="11"/>
      <color indexed="8"/>
      <name val="Calibri"/>
      <family val="2"/>
    </font>
    <font>
      <sz val="10"/>
      <name val="MS Sans Serif"/>
      <family val="2"/>
    </font>
    <font>
      <sz val="12"/>
      <name val="Arial MT"/>
    </font>
    <font>
      <i/>
      <sz val="12"/>
      <color indexed="23"/>
      <name val="Arial"/>
      <family val="2"/>
    </font>
    <font>
      <sz val="12"/>
      <color indexed="17"/>
      <name val="Arial"/>
      <family val="2"/>
    </font>
    <font>
      <sz val="10"/>
      <name val="Times New Roman"/>
      <family val="1"/>
    </font>
    <font>
      <b/>
      <sz val="15"/>
      <color indexed="56"/>
      <name val="Arial"/>
      <family val="2"/>
    </font>
    <font>
      <b/>
      <sz val="18"/>
      <name val="Arial"/>
    </font>
    <font>
      <b/>
      <sz val="18"/>
      <name val="Arial"/>
      <family val="2"/>
    </font>
    <font>
      <b/>
      <sz val="13"/>
      <color indexed="56"/>
      <name val="Arial"/>
      <family val="2"/>
    </font>
    <font>
      <b/>
      <sz val="12"/>
      <name val="Arial"/>
    </font>
    <font>
      <b/>
      <sz val="12"/>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9"/>
      </top>
      <bottom/>
      <diagonal/>
    </border>
  </borders>
  <cellStyleXfs count="394">
    <xf numFmtId="0" fontId="0" fillId="0" borderId="0"/>
    <xf numFmtId="43" fontId="17" fillId="0" borderId="0" applyFont="0" applyFill="0" applyBorder="0" applyAlignment="0" applyProtection="0"/>
    <xf numFmtId="9" fontId="1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26"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26"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26"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26"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6"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26"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6"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6"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6"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6"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53" borderId="0" applyNumberFormat="0" applyBorder="0" applyAlignment="0" applyProtection="0"/>
    <xf numFmtId="0" fontId="16" fillId="12" borderId="0" applyNumberFormat="0" applyBorder="0" applyAlignment="0" applyProtection="0"/>
    <xf numFmtId="0" fontId="27" fillId="50" borderId="0" applyNumberFormat="0" applyBorder="0" applyAlignment="0" applyProtection="0"/>
    <xf numFmtId="0" fontId="16" fillId="16" borderId="0" applyNumberFormat="0" applyBorder="0" applyAlignment="0" applyProtection="0"/>
    <xf numFmtId="0" fontId="27" fillId="51" borderId="0" applyNumberFormat="0" applyBorder="0" applyAlignment="0" applyProtection="0"/>
    <xf numFmtId="0" fontId="16" fillId="20" borderId="0" applyNumberFormat="0" applyBorder="0" applyAlignment="0" applyProtection="0"/>
    <xf numFmtId="0" fontId="27" fillId="54" borderId="0" applyNumberFormat="0" applyBorder="0" applyAlignment="0" applyProtection="0"/>
    <xf numFmtId="0" fontId="16" fillId="24" borderId="0" applyNumberFormat="0" applyBorder="0" applyAlignment="0" applyProtection="0"/>
    <xf numFmtId="0" fontId="27" fillId="55" borderId="0" applyNumberFormat="0" applyBorder="0" applyAlignment="0" applyProtection="0"/>
    <xf numFmtId="0" fontId="16" fillId="28" borderId="0" applyNumberFormat="0" applyBorder="0" applyAlignment="0" applyProtection="0"/>
    <xf numFmtId="0" fontId="27" fillId="56" borderId="0" applyNumberFormat="0" applyBorder="0" applyAlignment="0" applyProtection="0"/>
    <xf numFmtId="0" fontId="16" fillId="32" borderId="0" applyNumberFormat="0" applyBorder="0" applyAlignment="0" applyProtection="0"/>
    <xf numFmtId="0" fontId="27" fillId="57" borderId="0" applyNumberFormat="0" applyBorder="0" applyAlignment="0" applyProtection="0"/>
    <xf numFmtId="0" fontId="16" fillId="9" borderId="0" applyNumberFormat="0" applyBorder="0" applyAlignment="0" applyProtection="0"/>
    <xf numFmtId="0" fontId="27" fillId="58" borderId="0" applyNumberFormat="0" applyBorder="0" applyAlignment="0" applyProtection="0"/>
    <xf numFmtId="0" fontId="16" fillId="13" borderId="0" applyNumberFormat="0" applyBorder="0" applyAlignment="0" applyProtection="0"/>
    <xf numFmtId="0" fontId="27" fillId="59" borderId="0" applyNumberFormat="0" applyBorder="0" applyAlignment="0" applyProtection="0"/>
    <xf numFmtId="0" fontId="16" fillId="17" borderId="0" applyNumberFormat="0" applyBorder="0" applyAlignment="0" applyProtection="0"/>
    <xf numFmtId="0" fontId="27" fillId="54" borderId="0" applyNumberFormat="0" applyBorder="0" applyAlignment="0" applyProtection="0"/>
    <xf numFmtId="0" fontId="16" fillId="21" borderId="0" applyNumberFormat="0" applyBorder="0" applyAlignment="0" applyProtection="0"/>
    <xf numFmtId="0" fontId="27" fillId="55" borderId="0" applyNumberFormat="0" applyBorder="0" applyAlignment="0" applyProtection="0"/>
    <xf numFmtId="0" fontId="16" fillId="25" borderId="0" applyNumberFormat="0" applyBorder="0" applyAlignment="0" applyProtection="0"/>
    <xf numFmtId="0" fontId="27" fillId="60" borderId="0" applyNumberFormat="0" applyBorder="0" applyAlignment="0" applyProtection="0"/>
    <xf numFmtId="0" fontId="16" fillId="29" borderId="0" applyNumberFormat="0" applyBorder="0" applyAlignment="0" applyProtection="0"/>
    <xf numFmtId="0" fontId="28" fillId="44" borderId="0" applyNumberFormat="0" applyBorder="0" applyAlignment="0" applyProtection="0"/>
    <xf numFmtId="0" fontId="6" fillId="3" borderId="0" applyNumberFormat="0" applyBorder="0" applyAlignment="0" applyProtection="0"/>
    <xf numFmtId="0" fontId="29" fillId="61" borderId="14" applyNumberFormat="0" applyAlignment="0" applyProtection="0"/>
    <xf numFmtId="0" fontId="10" fillId="6" borderId="4" applyNumberFormat="0" applyAlignment="0" applyProtection="0"/>
    <xf numFmtId="0" fontId="30" fillId="62" borderId="15" applyNumberFormat="0" applyAlignment="0" applyProtection="0"/>
    <xf numFmtId="0" fontId="12"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 fontId="17" fillId="0" borderId="0"/>
    <xf numFmtId="43" fontId="31" fillId="0" borderId="0" applyFont="0" applyFill="0" applyBorder="0" applyAlignment="0" applyProtection="0"/>
    <xf numFmtId="43" fontId="1" fillId="0" borderId="0" applyFont="0" applyFill="0" applyBorder="0" applyAlignment="0" applyProtection="0"/>
    <xf numFmtId="43" fontId="17" fillId="0" borderId="0" applyFill="0" applyBorder="0" applyAlignment="0" applyProtection="0"/>
    <xf numFmtId="43" fontId="17" fillId="0" borderId="0" applyFill="0" applyBorder="0" applyAlignment="0" applyProtection="0"/>
    <xf numFmtId="40" fontId="32" fillId="0" borderId="0" applyFont="0" applyFill="0" applyBorder="0" applyAlignment="0" applyProtection="0"/>
    <xf numFmtId="43" fontId="31" fillId="0" borderId="0" applyFont="0" applyFill="0" applyBorder="0" applyAlignment="0" applyProtection="0"/>
    <xf numFmtId="4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ill="0" applyBorder="0" applyAlignment="0" applyProtection="0"/>
    <xf numFmtId="43" fontId="17" fillId="0" borderId="0" applyFont="0" applyFill="0" applyBorder="0" applyAlignment="0" applyProtection="0"/>
    <xf numFmtId="43" fontId="17" fillId="0" borderId="0" applyFill="0" applyBorder="0" applyAlignment="0" applyProtection="0"/>
    <xf numFmtId="4"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7" fillId="0" borderId="0"/>
    <xf numFmtId="44" fontId="33" fillId="0" borderId="0" applyFont="0" applyFill="0" applyBorder="0" applyAlignment="0" applyProtection="0"/>
    <xf numFmtId="44" fontId="17" fillId="0" borderId="0" applyFill="0" applyBorder="0" applyAlignment="0" applyProtection="0"/>
    <xf numFmtId="44" fontId="17" fillId="0" borderId="0" applyFill="0" applyBorder="0" applyAlignment="0" applyProtection="0"/>
    <xf numFmtId="8" fontId="32" fillId="0" borderId="0" applyFont="0" applyFill="0" applyBorder="0" applyAlignment="0" applyProtection="0"/>
    <xf numFmtId="8" fontId="32" fillId="0" borderId="0" applyFont="0" applyFill="0" applyBorder="0" applyAlignment="0" applyProtection="0"/>
    <xf numFmtId="44" fontId="3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71" fontId="17" fillId="0" borderId="0"/>
    <xf numFmtId="14" fontId="17" fillId="0" borderId="0"/>
    <xf numFmtId="0" fontId="34" fillId="0" borderId="0" applyNumberFormat="0" applyFill="0" applyBorder="0" applyAlignment="0" applyProtection="0"/>
    <xf numFmtId="0" fontId="14" fillId="0" borderId="0" applyNumberFormat="0" applyFill="0" applyBorder="0" applyAlignment="0" applyProtection="0"/>
    <xf numFmtId="2" fontId="17" fillId="0" borderId="0"/>
    <xf numFmtId="0" fontId="35" fillId="45" borderId="0" applyNumberFormat="0" applyBorder="0" applyAlignment="0" applyProtection="0"/>
    <xf numFmtId="0" fontId="5" fillId="2" borderId="0" applyNumberFormat="0" applyBorder="0" applyAlignment="0" applyProtection="0"/>
    <xf numFmtId="172" fontId="36" fillId="0" borderId="0"/>
    <xf numFmtId="0" fontId="37" fillId="0" borderId="16" applyNumberFormat="0" applyFill="0" applyAlignment="0" applyProtection="0"/>
    <xf numFmtId="0" fontId="2" fillId="0" borderId="1" applyNumberFormat="0" applyFill="0" applyAlignment="0" applyProtection="0"/>
    <xf numFmtId="0" fontId="38" fillId="0" borderId="0"/>
    <xf numFmtId="0" fontId="39" fillId="0" borderId="0"/>
    <xf numFmtId="0" fontId="2" fillId="0" borderId="1" applyNumberFormat="0" applyFill="0" applyAlignment="0" applyProtection="0"/>
    <xf numFmtId="0" fontId="40" fillId="0" borderId="17" applyNumberFormat="0" applyFill="0" applyAlignment="0" applyProtection="0"/>
    <xf numFmtId="0" fontId="3" fillId="0" borderId="2" applyNumberFormat="0" applyFill="0" applyAlignment="0" applyProtection="0"/>
    <xf numFmtId="0" fontId="41" fillId="0" borderId="0"/>
    <xf numFmtId="0" fontId="42" fillId="0" borderId="0"/>
    <xf numFmtId="0" fontId="3" fillId="0" borderId="2" applyNumberFormat="0" applyFill="0" applyAlignment="0" applyProtection="0"/>
    <xf numFmtId="0" fontId="43" fillId="0" borderId="18" applyNumberFormat="0" applyFill="0" applyAlignment="0" applyProtection="0"/>
    <xf numFmtId="0" fontId="4" fillId="0" borderId="3" applyNumberFormat="0" applyFill="0" applyAlignment="0" applyProtection="0"/>
    <xf numFmtId="0" fontId="43" fillId="0" borderId="0" applyNumberFormat="0" applyFill="0" applyBorder="0" applyAlignment="0" applyProtection="0"/>
    <xf numFmtId="0" fontId="4" fillId="0" borderId="0" applyNumberFormat="0" applyFill="0" applyBorder="0" applyAlignment="0" applyProtection="0"/>
    <xf numFmtId="0" fontId="44" fillId="48" borderId="14" applyNumberFormat="0" applyAlignment="0" applyProtection="0"/>
    <xf numFmtId="0" fontId="8" fillId="5" borderId="4" applyNumberFormat="0" applyAlignment="0" applyProtection="0"/>
    <xf numFmtId="173" fontId="19" fillId="0" borderId="0"/>
    <xf numFmtId="0" fontId="45" fillId="0" borderId="19" applyNumberFormat="0" applyFill="0" applyAlignment="0" applyProtection="0"/>
    <xf numFmtId="0" fontId="11" fillId="0" borderId="6" applyNumberFormat="0" applyFill="0" applyAlignment="0" applyProtection="0"/>
    <xf numFmtId="0" fontId="46" fillId="63" borderId="0" applyNumberFormat="0" applyBorder="0" applyAlignment="0" applyProtection="0"/>
    <xf numFmtId="0" fontId="7"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7" fillId="0" borderId="0"/>
    <xf numFmtId="0" fontId="17" fillId="0" borderId="0"/>
    <xf numFmtId="0" fontId="1" fillId="0" borderId="0"/>
    <xf numFmtId="0" fontId="1" fillId="0" borderId="0"/>
    <xf numFmtId="0" fontId="1" fillId="0" borderId="0"/>
    <xf numFmtId="173" fontId="19" fillId="0" borderId="0"/>
    <xf numFmtId="173" fontId="19" fillId="0" borderId="0"/>
    <xf numFmtId="0" fontId="1" fillId="0" borderId="0"/>
    <xf numFmtId="0" fontId="1" fillId="0" borderId="0"/>
    <xf numFmtId="0" fontId="1" fillId="0" borderId="0"/>
    <xf numFmtId="0" fontId="1" fillId="0" borderId="0"/>
    <xf numFmtId="0" fontId="17"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1" fillId="0" borderId="0"/>
    <xf numFmtId="0" fontId="32" fillId="0" borderId="0"/>
    <xf numFmtId="0" fontId="1" fillId="0" borderId="0"/>
    <xf numFmtId="0" fontId="32" fillId="0" borderId="0"/>
    <xf numFmtId="0" fontId="32" fillId="0" borderId="0"/>
    <xf numFmtId="0" fontId="1" fillId="0" borderId="0"/>
    <xf numFmtId="0" fontId="32" fillId="0" borderId="0"/>
    <xf numFmtId="0" fontId="1" fillId="0" borderId="0"/>
    <xf numFmtId="0" fontId="17"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7" fillId="64" borderId="20" applyNumberFormat="0" applyFont="0" applyAlignment="0" applyProtection="0"/>
    <xf numFmtId="0" fontId="17" fillId="64"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61" borderId="21" applyNumberFormat="0" applyAlignment="0" applyProtection="0"/>
    <xf numFmtId="0" fontId="9" fillId="6" borderId="5" applyNumberFormat="0" applyAlignment="0" applyProtection="0"/>
    <xf numFmtId="9" fontId="33" fillId="0" borderId="0" applyFont="0" applyFill="0" applyBorder="0" applyAlignment="0" applyProtection="0"/>
    <xf numFmtId="9" fontId="17" fillId="0" borderId="0" applyFill="0" applyBorder="0" applyAlignment="0" applyProtection="0"/>
    <xf numFmtId="9" fontId="17" fillId="0" borderId="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xf numFmtId="0" fontId="49" fillId="0" borderId="22" applyNumberFormat="0" applyFill="0" applyAlignment="0" applyProtection="0"/>
    <xf numFmtId="0" fontId="15" fillId="0" borderId="9" applyNumberFormat="0" applyFill="0" applyAlignment="0" applyProtection="0"/>
    <xf numFmtId="0" fontId="17" fillId="0" borderId="23"/>
    <xf numFmtId="0" fontId="15" fillId="0" borderId="9" applyNumberFormat="0" applyFill="0" applyAlignment="0" applyProtection="0"/>
    <xf numFmtId="0" fontId="50" fillId="0" borderId="0" applyNumberFormat="0" applyFill="0" applyBorder="0" applyAlignment="0" applyProtection="0"/>
    <xf numFmtId="0" fontId="13" fillId="0" borderId="0" applyNumberFormat="0" applyFill="0" applyBorder="0" applyAlignment="0" applyProtection="0"/>
  </cellStyleXfs>
  <cellXfs count="115">
    <xf numFmtId="0" fontId="0" fillId="0" borderId="0" xfId="0"/>
    <xf numFmtId="164" fontId="0" fillId="0" borderId="0" xfId="1" applyNumberFormat="1" applyFont="1"/>
    <xf numFmtId="0" fontId="17" fillId="0" borderId="0" xfId="0" applyFont="1"/>
    <xf numFmtId="0" fontId="18" fillId="0" borderId="0" xfId="0" applyFont="1"/>
    <xf numFmtId="0" fontId="0" fillId="33" borderId="0" xfId="0" applyFill="1"/>
    <xf numFmtId="164" fontId="0" fillId="0" borderId="0" xfId="1" applyNumberFormat="1" applyFont="1" applyFill="1"/>
    <xf numFmtId="164" fontId="18" fillId="0" borderId="0" xfId="1" applyNumberFormat="1" applyFont="1" applyFill="1"/>
    <xf numFmtId="0" fontId="0" fillId="34" borderId="0" xfId="0" applyFill="1"/>
    <xf numFmtId="10" fontId="0" fillId="0" borderId="0" xfId="2" applyNumberFormat="1" applyFont="1"/>
    <xf numFmtId="0" fontId="0" fillId="0" borderId="0" xfId="0" applyAlignment="1">
      <alignment horizontal="center"/>
    </xf>
    <xf numFmtId="165" fontId="0" fillId="0" borderId="0" xfId="1" applyNumberFormat="1" applyFont="1" applyFill="1" applyBorder="1"/>
    <xf numFmtId="0" fontId="18" fillId="0" borderId="0" xfId="0" applyFont="1" applyAlignment="1">
      <alignment horizontal="center"/>
    </xf>
    <xf numFmtId="0" fontId="0" fillId="0" borderId="0" xfId="0" applyFill="1"/>
    <xf numFmtId="0" fontId="1" fillId="0" borderId="0" xfId="3"/>
    <xf numFmtId="166" fontId="19" fillId="0" borderId="0" xfId="0" applyNumberFormat="1" applyFont="1" applyFill="1" applyBorder="1" applyProtection="1">
      <protection locked="0"/>
    </xf>
    <xf numFmtId="44" fontId="19" fillId="0" borderId="0" xfId="0" applyNumberFormat="1" applyFont="1" applyFill="1" applyBorder="1" applyProtection="1">
      <protection locked="0"/>
    </xf>
    <xf numFmtId="0" fontId="0" fillId="0" borderId="0" xfId="0" applyFill="1" applyBorder="1"/>
    <xf numFmtId="0" fontId="17" fillId="0" borderId="0" xfId="0" applyFont="1" applyFill="1" applyBorder="1"/>
    <xf numFmtId="164" fontId="0" fillId="0" borderId="0" xfId="1" applyNumberFormat="1" applyFont="1" applyFill="1" applyBorder="1"/>
    <xf numFmtId="0" fontId="18" fillId="0" borderId="0" xfId="0" applyFont="1" applyFill="1" applyBorder="1"/>
    <xf numFmtId="164" fontId="18" fillId="0" borderId="0" xfId="1" applyNumberFormat="1" applyFont="1" applyFill="1" applyBorder="1"/>
    <xf numFmtId="10" fontId="0" fillId="0" borderId="0" xfId="2" applyNumberFormat="1" applyFont="1" applyFill="1" applyBorder="1"/>
    <xf numFmtId="0" fontId="0" fillId="0" borderId="0" xfId="0" applyFill="1" applyBorder="1" applyAlignment="1">
      <alignment horizontal="center"/>
    </xf>
    <xf numFmtId="0" fontId="18" fillId="0" borderId="0" xfId="0" applyFont="1" applyFill="1" applyBorder="1" applyAlignment="1">
      <alignment horizontal="center"/>
    </xf>
    <xf numFmtId="164" fontId="1" fillId="0" borderId="0" xfId="4" applyNumberFormat="1" applyFont="1" applyFill="1" applyBorder="1" applyAlignment="1">
      <alignment vertical="top" wrapText="1"/>
    </xf>
    <xf numFmtId="10" fontId="1" fillId="0" borderId="0" xfId="2" applyNumberFormat="1" applyFont="1" applyFill="1" applyBorder="1" applyAlignment="1">
      <alignment vertical="top" wrapText="1"/>
    </xf>
    <xf numFmtId="164" fontId="1" fillId="0" borderId="0" xfId="4" applyNumberFormat="1" applyFont="1" applyFill="1" applyBorder="1" applyAlignment="1">
      <alignment horizontal="center" vertical="top" wrapText="1"/>
    </xf>
    <xf numFmtId="165" fontId="1" fillId="0" borderId="0" xfId="1" applyNumberFormat="1" applyFont="1" applyFill="1" applyBorder="1" applyAlignment="1">
      <alignment vertical="top" wrapText="1"/>
    </xf>
    <xf numFmtId="164" fontId="1" fillId="0" borderId="0" xfId="5" applyNumberFormat="1" applyFont="1" applyFill="1" applyBorder="1" applyAlignment="1">
      <alignment vertical="top" wrapText="1"/>
    </xf>
    <xf numFmtId="164" fontId="1" fillId="0" borderId="0" xfId="1" applyNumberFormat="1" applyFont="1" applyFill="1" applyBorder="1" applyAlignment="1">
      <alignment vertical="top" wrapText="1"/>
    </xf>
    <xf numFmtId="164" fontId="1" fillId="0" borderId="0" xfId="5" applyNumberFormat="1" applyFont="1" applyFill="1" applyBorder="1" applyAlignment="1">
      <alignment horizontal="center" vertical="top" wrapText="1"/>
    </xf>
    <xf numFmtId="167" fontId="18" fillId="0" borderId="0" xfId="0" applyNumberFormat="1" applyFont="1"/>
    <xf numFmtId="164" fontId="17" fillId="0" borderId="0" xfId="1" applyNumberFormat="1" applyFont="1" applyFill="1" applyBorder="1"/>
    <xf numFmtId="43" fontId="18" fillId="0" borderId="0" xfId="0" applyNumberFormat="1" applyFont="1"/>
    <xf numFmtId="43" fontId="0" fillId="0" borderId="0" xfId="0" applyNumberFormat="1"/>
    <xf numFmtId="0" fontId="0" fillId="0" borderId="0" xfId="0" applyAlignment="1">
      <alignment horizontal="right"/>
    </xf>
    <xf numFmtId="167" fontId="17" fillId="0" borderId="0" xfId="0" applyNumberFormat="1" applyFont="1"/>
    <xf numFmtId="0" fontId="0" fillId="35" borderId="0" xfId="0" applyFill="1"/>
    <xf numFmtId="0" fontId="18" fillId="35" borderId="0" xfId="0" applyFont="1" applyFill="1"/>
    <xf numFmtId="0" fontId="20" fillId="0" borderId="0" xfId="0" applyFont="1"/>
    <xf numFmtId="164" fontId="17" fillId="0" borderId="0" xfId="0" applyNumberFormat="1" applyFont="1"/>
    <xf numFmtId="0" fontId="18" fillId="36" borderId="0" xfId="0" applyFont="1" applyFill="1"/>
    <xf numFmtId="43" fontId="0" fillId="0" borderId="0" xfId="1" applyFont="1"/>
    <xf numFmtId="168" fontId="17" fillId="0" borderId="0" xfId="2" applyNumberFormat="1" applyFont="1"/>
    <xf numFmtId="164" fontId="0" fillId="36" borderId="0" xfId="1" applyNumberFormat="1" applyFont="1" applyFill="1"/>
    <xf numFmtId="9" fontId="0" fillId="0" borderId="0" xfId="2" applyFont="1" applyFill="1" applyBorder="1"/>
    <xf numFmtId="10" fontId="0" fillId="37" borderId="0" xfId="2" applyNumberFormat="1" applyFont="1" applyFill="1"/>
    <xf numFmtId="169" fontId="17" fillId="0" borderId="0" xfId="0" applyNumberFormat="1" applyFont="1"/>
    <xf numFmtId="43" fontId="0" fillId="36" borderId="0" xfId="1" applyNumberFormat="1" applyFont="1" applyFill="1"/>
    <xf numFmtId="49" fontId="18" fillId="0" borderId="0" xfId="0" applyNumberFormat="1" applyFont="1" applyBorder="1" applyAlignment="1">
      <alignment horizontal="center"/>
    </xf>
    <xf numFmtId="0" fontId="0" fillId="0" borderId="0" xfId="0" applyBorder="1"/>
    <xf numFmtId="164" fontId="0" fillId="0" borderId="0" xfId="0" applyNumberFormat="1"/>
    <xf numFmtId="164" fontId="18" fillId="0" borderId="0" xfId="0" applyNumberFormat="1" applyFont="1"/>
    <xf numFmtId="43" fontId="17" fillId="0" borderId="0" xfId="0" applyNumberFormat="1" applyFont="1"/>
    <xf numFmtId="0" fontId="0" fillId="38" borderId="0" xfId="0" applyFill="1"/>
    <xf numFmtId="164" fontId="0" fillId="38" borderId="0" xfId="1" applyNumberFormat="1" applyFont="1" applyFill="1"/>
    <xf numFmtId="10" fontId="0" fillId="38" borderId="0" xfId="2" applyNumberFormat="1" applyFont="1" applyFill="1"/>
    <xf numFmtId="165" fontId="0" fillId="0" borderId="0" xfId="0" applyNumberFormat="1" applyBorder="1"/>
    <xf numFmtId="167" fontId="17" fillId="0" borderId="0" xfId="0" applyNumberFormat="1" applyFont="1" applyFill="1"/>
    <xf numFmtId="164" fontId="0" fillId="0" borderId="0" xfId="1" applyNumberFormat="1" applyFont="1" applyBorder="1"/>
    <xf numFmtId="164" fontId="0" fillId="38" borderId="0" xfId="2" applyNumberFormat="1" applyFont="1" applyFill="1" applyBorder="1"/>
    <xf numFmtId="164" fontId="0" fillId="38" borderId="0" xfId="1" applyNumberFormat="1" applyFont="1" applyFill="1" applyBorder="1"/>
    <xf numFmtId="9" fontId="18" fillId="0" borderId="0" xfId="2" applyFont="1" applyFill="1" applyBorder="1"/>
    <xf numFmtId="164" fontId="1" fillId="0" borderId="0" xfId="6" applyNumberFormat="1" applyFont="1"/>
    <xf numFmtId="164" fontId="1" fillId="0" borderId="0" xfId="6" applyNumberFormat="1" applyFont="1" applyFill="1"/>
    <xf numFmtId="164" fontId="0" fillId="0" borderId="0" xfId="0" applyNumberFormat="1" applyBorder="1"/>
    <xf numFmtId="164" fontId="0" fillId="35" borderId="0" xfId="1" applyNumberFormat="1" applyFont="1" applyFill="1"/>
    <xf numFmtId="43" fontId="0" fillId="37" borderId="0" xfId="1" applyFont="1" applyFill="1" applyBorder="1"/>
    <xf numFmtId="10" fontId="0" fillId="37" borderId="0" xfId="2" applyNumberFormat="1" applyFont="1" applyFill="1" applyBorder="1"/>
    <xf numFmtId="164" fontId="1" fillId="37" borderId="0" xfId="4" applyNumberFormat="1" applyFont="1" applyFill="1" applyBorder="1" applyAlignment="1">
      <alignment horizontal="center" vertical="top" wrapText="1"/>
    </xf>
    <xf numFmtId="3" fontId="17" fillId="39" borderId="0" xfId="0" applyNumberFormat="1" applyFont="1" applyFill="1" applyBorder="1" applyAlignment="1">
      <alignment horizontal="right"/>
    </xf>
    <xf numFmtId="49" fontId="18" fillId="0" borderId="0" xfId="0" applyNumberFormat="1" applyFont="1" applyFill="1" applyBorder="1" applyAlignment="1">
      <alignment horizontal="center"/>
    </xf>
    <xf numFmtId="164" fontId="18" fillId="40" borderId="0" xfId="1" applyNumberFormat="1" applyFont="1" applyFill="1" applyBorder="1"/>
    <xf numFmtId="164" fontId="17" fillId="40" borderId="0" xfId="1" applyNumberFormat="1" applyFont="1" applyFill="1" applyBorder="1"/>
    <xf numFmtId="164" fontId="0" fillId="40" borderId="0" xfId="1" applyNumberFormat="1" applyFont="1" applyFill="1" applyBorder="1"/>
    <xf numFmtId="164" fontId="0" fillId="41" borderId="0" xfId="1" applyNumberFormat="1" applyFont="1" applyFill="1"/>
    <xf numFmtId="3" fontId="17" fillId="0" borderId="0" xfId="0" applyNumberFormat="1" applyFont="1" applyFill="1" applyBorder="1" applyAlignment="1">
      <alignment horizontal="right"/>
    </xf>
    <xf numFmtId="43" fontId="1" fillId="42" borderId="0" xfId="4" applyNumberFormat="1" applyFont="1" applyFill="1" applyBorder="1" applyAlignment="1">
      <alignment horizontal="center" vertical="top" wrapText="1"/>
    </xf>
    <xf numFmtId="10" fontId="0" fillId="42" borderId="0" xfId="2" applyNumberFormat="1" applyFont="1" applyFill="1" applyBorder="1"/>
    <xf numFmtId="164" fontId="1" fillId="42" borderId="0" xfId="4" applyNumberFormat="1" applyFont="1" applyFill="1" applyBorder="1" applyAlignment="1">
      <alignment horizontal="center" vertical="top" wrapText="1"/>
    </xf>
    <xf numFmtId="168" fontId="17" fillId="0" borderId="0" xfId="2" applyNumberFormat="1" applyFont="1" applyFill="1"/>
    <xf numFmtId="164" fontId="18" fillId="34" borderId="0" xfId="1" applyNumberFormat="1" applyFont="1" applyFill="1" applyBorder="1"/>
    <xf numFmtId="164" fontId="17" fillId="34" borderId="0" xfId="1" applyNumberFormat="1" applyFont="1" applyFill="1" applyBorder="1"/>
    <xf numFmtId="164" fontId="0" fillId="34" borderId="0" xfId="1" applyNumberFormat="1" applyFont="1" applyFill="1" applyBorder="1"/>
    <xf numFmtId="9" fontId="0" fillId="38" borderId="0" xfId="2" applyFont="1" applyFill="1" applyBorder="1"/>
    <xf numFmtId="170" fontId="0" fillId="0" borderId="0" xfId="0" applyNumberFormat="1" applyFill="1"/>
    <xf numFmtId="43" fontId="0" fillId="0" borderId="0" xfId="1" applyNumberFormat="1" applyFont="1" applyFill="1"/>
    <xf numFmtId="43" fontId="0" fillId="0" borderId="0" xfId="1" applyFont="1" applyFill="1" applyBorder="1"/>
    <xf numFmtId="3" fontId="17" fillId="0" borderId="0" xfId="0" applyNumberFormat="1" applyFont="1" applyFill="1"/>
    <xf numFmtId="0" fontId="0" fillId="33" borderId="0" xfId="0" applyFill="1" applyBorder="1"/>
    <xf numFmtId="170" fontId="0" fillId="0" borderId="0" xfId="0" applyNumberFormat="1" applyFill="1" applyBorder="1"/>
    <xf numFmtId="164" fontId="18" fillId="0" borderId="0" xfId="1" applyNumberFormat="1" applyFont="1" applyBorder="1"/>
    <xf numFmtId="43" fontId="0" fillId="0" borderId="0" xfId="1" applyNumberFormat="1" applyFont="1" applyFill="1" applyBorder="1"/>
    <xf numFmtId="168" fontId="17" fillId="0" borderId="0" xfId="2" applyNumberFormat="1" applyFont="1" applyFill="1" applyBorder="1"/>
    <xf numFmtId="170" fontId="0" fillId="0" borderId="0" xfId="0" applyNumberFormat="1" applyBorder="1"/>
    <xf numFmtId="164" fontId="17" fillId="34" borderId="0" xfId="0" applyNumberFormat="1" applyFont="1" applyFill="1" applyBorder="1"/>
    <xf numFmtId="9" fontId="0" fillId="0" borderId="0" xfId="2" applyFont="1" applyFill="1"/>
    <xf numFmtId="9" fontId="0" fillId="0" borderId="0" xfId="2" applyFont="1" applyBorder="1"/>
    <xf numFmtId="43" fontId="0" fillId="0" borderId="0" xfId="1" applyNumberFormat="1" applyFont="1" applyBorder="1"/>
    <xf numFmtId="164" fontId="0" fillId="33" borderId="0" xfId="0" applyNumberFormat="1" applyFill="1" applyBorder="1"/>
    <xf numFmtId="16" fontId="0" fillId="0" borderId="0" xfId="0" applyNumberFormat="1" applyBorder="1"/>
    <xf numFmtId="0" fontId="18" fillId="0" borderId="0" xfId="0" applyFont="1" applyBorder="1" applyAlignment="1">
      <alignment horizontal="center"/>
    </xf>
    <xf numFmtId="43" fontId="0" fillId="0" borderId="0" xfId="1" applyFont="1" applyBorder="1"/>
    <xf numFmtId="10" fontId="0" fillId="0" borderId="0" xfId="2" applyNumberFormat="1" applyFont="1" applyBorder="1"/>
    <xf numFmtId="0" fontId="0" fillId="0" borderId="0" xfId="0" applyBorder="1" applyAlignment="1">
      <alignment horizontal="center"/>
    </xf>
    <xf numFmtId="0" fontId="0" fillId="0" borderId="10" xfId="0" applyFill="1" applyBorder="1"/>
    <xf numFmtId="0" fontId="21" fillId="0" borderId="11" xfId="0" applyFont="1" applyFill="1" applyBorder="1" applyAlignment="1">
      <alignment horizontal="center" wrapText="1"/>
    </xf>
    <xf numFmtId="0" fontId="21" fillId="0" borderId="10" xfId="0" applyFont="1" applyFill="1" applyBorder="1" applyAlignment="1">
      <alignment horizontal="center" wrapText="1"/>
    </xf>
    <xf numFmtId="0" fontId="0" fillId="0" borderId="11" xfId="0" applyFill="1" applyBorder="1"/>
    <xf numFmtId="164" fontId="21" fillId="0" borderId="10" xfId="1" applyNumberFormat="1" applyFont="1" applyFill="1" applyBorder="1" applyAlignment="1">
      <alignment horizontal="center" wrapText="1"/>
    </xf>
    <xf numFmtId="0" fontId="21" fillId="33" borderId="10" xfId="0" applyFont="1" applyFill="1" applyBorder="1" applyAlignment="1">
      <alignment horizontal="center" wrapText="1"/>
    </xf>
    <xf numFmtId="164" fontId="21" fillId="38" borderId="10" xfId="1" applyNumberFormat="1" applyFont="1" applyFill="1" applyBorder="1" applyAlignment="1">
      <alignment horizontal="center" wrapText="1"/>
    </xf>
    <xf numFmtId="0" fontId="21" fillId="0" borderId="12" xfId="0" applyFont="1" applyFill="1" applyBorder="1" applyAlignment="1">
      <alignment horizontal="center" wrapText="1"/>
    </xf>
    <xf numFmtId="10" fontId="21" fillId="0" borderId="12" xfId="2" applyNumberFormat="1" applyFont="1" applyFill="1" applyBorder="1" applyAlignment="1">
      <alignment horizontal="center" wrapText="1"/>
    </xf>
    <xf numFmtId="0" fontId="18" fillId="0" borderId="13" xfId="0" applyFont="1" applyFill="1" applyBorder="1" applyAlignment="1">
      <alignment horizontal="center"/>
    </xf>
  </cellXfs>
  <cellStyles count="394">
    <cellStyle name="20% - Accent1 2" xfId="7"/>
    <cellStyle name="20% - Accent1 2 2" xfId="8"/>
    <cellStyle name="20% - Accent1 2 3" xfId="9"/>
    <cellStyle name="20% - Accent1 2 4" xfId="10"/>
    <cellStyle name="20% - Accent1 2 5" xfId="11"/>
    <cellStyle name="20% - Accent1 2 6" xfId="12"/>
    <cellStyle name="20% - Accent1 3" xfId="13"/>
    <cellStyle name="20% - Accent1 4" xfId="14"/>
    <cellStyle name="20% - Accent1 5" xfId="15"/>
    <cellStyle name="20% - Accent1 6" xfId="16"/>
    <cellStyle name="20% - Accent1 7" xfId="17"/>
    <cellStyle name="20% - Accent1 8" xfId="18"/>
    <cellStyle name="20% - Accent2 2" xfId="19"/>
    <cellStyle name="20% - Accent2 2 2" xfId="20"/>
    <cellStyle name="20% - Accent2 2 3" xfId="21"/>
    <cellStyle name="20% - Accent2 2 4" xfId="22"/>
    <cellStyle name="20% - Accent2 2 5" xfId="23"/>
    <cellStyle name="20% - Accent2 2 6" xfId="24"/>
    <cellStyle name="20% - Accent2 3" xfId="25"/>
    <cellStyle name="20% - Accent2 4" xfId="26"/>
    <cellStyle name="20% - Accent2 5" xfId="27"/>
    <cellStyle name="20% - Accent2 6" xfId="28"/>
    <cellStyle name="20% - Accent2 7" xfId="29"/>
    <cellStyle name="20% - Accent2 8" xfId="30"/>
    <cellStyle name="20% - Accent3 2" xfId="31"/>
    <cellStyle name="20% - Accent3 2 2" xfId="32"/>
    <cellStyle name="20% - Accent3 2 3" xfId="33"/>
    <cellStyle name="20% - Accent3 2 4" xfId="34"/>
    <cellStyle name="20% - Accent3 2 5" xfId="35"/>
    <cellStyle name="20% - Accent3 2 6" xfId="36"/>
    <cellStyle name="20% - Accent3 3" xfId="37"/>
    <cellStyle name="20% - Accent3 4" xfId="38"/>
    <cellStyle name="20% - Accent3 5" xfId="39"/>
    <cellStyle name="20% - Accent3 6" xfId="40"/>
    <cellStyle name="20% - Accent3 7" xfId="41"/>
    <cellStyle name="20% - Accent3 8" xfId="42"/>
    <cellStyle name="20% - Accent4 2" xfId="43"/>
    <cellStyle name="20% - Accent4 2 2" xfId="44"/>
    <cellStyle name="20% - Accent4 2 3" xfId="45"/>
    <cellStyle name="20% - Accent4 2 4" xfId="46"/>
    <cellStyle name="20% - Accent4 2 5" xfId="47"/>
    <cellStyle name="20% - Accent4 2 6" xfId="48"/>
    <cellStyle name="20% - Accent4 3" xfId="49"/>
    <cellStyle name="20% - Accent4 4" xfId="50"/>
    <cellStyle name="20% - Accent4 5" xfId="51"/>
    <cellStyle name="20% - Accent4 6" xfId="52"/>
    <cellStyle name="20% - Accent4 7" xfId="53"/>
    <cellStyle name="20% - Accent4 8" xfId="54"/>
    <cellStyle name="20% - Accent5 2" xfId="55"/>
    <cellStyle name="20% - Accent5 2 2" xfId="56"/>
    <cellStyle name="20% - Accent5 2 3" xfId="57"/>
    <cellStyle name="20% - Accent5 2 4" xfId="58"/>
    <cellStyle name="20% - Accent5 2 5" xfId="59"/>
    <cellStyle name="20% - Accent5 2 6" xfId="60"/>
    <cellStyle name="20% - Accent5 3" xfId="61"/>
    <cellStyle name="20% - Accent5 4" xfId="62"/>
    <cellStyle name="20% - Accent5 5" xfId="63"/>
    <cellStyle name="20% - Accent5 6" xfId="64"/>
    <cellStyle name="20% - Accent5 7" xfId="65"/>
    <cellStyle name="20% - Accent5 8" xfId="66"/>
    <cellStyle name="20% - Accent6 2" xfId="67"/>
    <cellStyle name="20% - Accent6 2 2" xfId="68"/>
    <cellStyle name="20% - Accent6 2 3" xfId="69"/>
    <cellStyle name="20% - Accent6 2 4" xfId="70"/>
    <cellStyle name="20% - Accent6 2 5" xfId="71"/>
    <cellStyle name="20% - Accent6 2 6" xfId="72"/>
    <cellStyle name="20% - Accent6 3" xfId="73"/>
    <cellStyle name="20% - Accent6 4" xfId="74"/>
    <cellStyle name="20% - Accent6 5" xfId="75"/>
    <cellStyle name="20% - Accent6 6" xfId="76"/>
    <cellStyle name="20% - Accent6 7" xfId="77"/>
    <cellStyle name="20% - Accent6 8" xfId="78"/>
    <cellStyle name="40% - Accent1 2" xfId="79"/>
    <cellStyle name="40% - Accent1 2 2" xfId="80"/>
    <cellStyle name="40% - Accent1 2 3" xfId="81"/>
    <cellStyle name="40% - Accent1 2 4" xfId="82"/>
    <cellStyle name="40% - Accent1 2 5" xfId="83"/>
    <cellStyle name="40% - Accent1 2 6" xfId="84"/>
    <cellStyle name="40% - Accent1 3" xfId="85"/>
    <cellStyle name="40% - Accent1 4" xfId="86"/>
    <cellStyle name="40% - Accent1 5" xfId="87"/>
    <cellStyle name="40% - Accent1 6" xfId="88"/>
    <cellStyle name="40% - Accent1 7" xfId="89"/>
    <cellStyle name="40% - Accent1 8" xfId="90"/>
    <cellStyle name="40% - Accent2 2" xfId="91"/>
    <cellStyle name="40% - Accent2 2 2" xfId="92"/>
    <cellStyle name="40% - Accent2 2 3" xfId="93"/>
    <cellStyle name="40% - Accent2 2 4" xfId="94"/>
    <cellStyle name="40% - Accent2 2 5" xfId="95"/>
    <cellStyle name="40% - Accent2 2 6" xfId="96"/>
    <cellStyle name="40% - Accent2 3" xfId="97"/>
    <cellStyle name="40% - Accent2 4" xfId="98"/>
    <cellStyle name="40% - Accent2 5" xfId="99"/>
    <cellStyle name="40% - Accent2 6" xfId="100"/>
    <cellStyle name="40% - Accent2 7" xfId="101"/>
    <cellStyle name="40% - Accent2 8" xfId="102"/>
    <cellStyle name="40% - Accent3 2" xfId="103"/>
    <cellStyle name="40% - Accent3 2 2" xfId="104"/>
    <cellStyle name="40% - Accent3 2 3" xfId="105"/>
    <cellStyle name="40% - Accent3 2 4" xfId="106"/>
    <cellStyle name="40% - Accent3 2 5" xfId="107"/>
    <cellStyle name="40% - Accent3 2 6" xfId="108"/>
    <cellStyle name="40% - Accent3 3" xfId="109"/>
    <cellStyle name="40% - Accent3 4" xfId="110"/>
    <cellStyle name="40% - Accent3 5" xfId="111"/>
    <cellStyle name="40% - Accent3 6" xfId="112"/>
    <cellStyle name="40% - Accent3 7" xfId="113"/>
    <cellStyle name="40% - Accent3 8" xfId="114"/>
    <cellStyle name="40% - Accent4 2" xfId="115"/>
    <cellStyle name="40% - Accent4 2 2" xfId="116"/>
    <cellStyle name="40% - Accent4 2 3" xfId="117"/>
    <cellStyle name="40% - Accent4 2 4" xfId="118"/>
    <cellStyle name="40% - Accent4 2 5" xfId="119"/>
    <cellStyle name="40% - Accent4 2 6" xfId="120"/>
    <cellStyle name="40% - Accent4 3" xfId="121"/>
    <cellStyle name="40% - Accent4 4" xfId="122"/>
    <cellStyle name="40% - Accent4 5" xfId="123"/>
    <cellStyle name="40% - Accent4 6" xfId="124"/>
    <cellStyle name="40% - Accent4 7" xfId="125"/>
    <cellStyle name="40% - Accent4 8" xfId="126"/>
    <cellStyle name="40% - Accent5 2" xfId="127"/>
    <cellStyle name="40% - Accent5 2 2" xfId="128"/>
    <cellStyle name="40% - Accent5 2 3" xfId="129"/>
    <cellStyle name="40% - Accent5 2 4" xfId="130"/>
    <cellStyle name="40% - Accent5 2 5" xfId="131"/>
    <cellStyle name="40% - Accent5 2 6" xfId="132"/>
    <cellStyle name="40% - Accent5 3" xfId="133"/>
    <cellStyle name="40% - Accent5 4" xfId="134"/>
    <cellStyle name="40% - Accent5 5" xfId="135"/>
    <cellStyle name="40% - Accent5 6" xfId="136"/>
    <cellStyle name="40% - Accent5 7" xfId="137"/>
    <cellStyle name="40% - Accent5 8" xfId="138"/>
    <cellStyle name="40% - Accent6 2" xfId="139"/>
    <cellStyle name="40% - Accent6 2 2" xfId="140"/>
    <cellStyle name="40% - Accent6 2 3" xfId="141"/>
    <cellStyle name="40% - Accent6 2 4" xfId="142"/>
    <cellStyle name="40% - Accent6 2 5" xfId="143"/>
    <cellStyle name="40% - Accent6 2 6" xfId="144"/>
    <cellStyle name="40% - Accent6 3" xfId="145"/>
    <cellStyle name="40% - Accent6 4" xfId="146"/>
    <cellStyle name="40% - Accent6 5" xfId="147"/>
    <cellStyle name="40% - Accent6 6" xfId="148"/>
    <cellStyle name="40% - Accent6 7" xfId="149"/>
    <cellStyle name="40% - Accent6 8" xfId="150"/>
    <cellStyle name="60% - Accent1 2" xfId="151"/>
    <cellStyle name="60% - Accent1 2 2" xfId="152"/>
    <cellStyle name="60% - Accent2 2" xfId="153"/>
    <cellStyle name="60% - Accent2 2 2" xfId="154"/>
    <cellStyle name="60% - Accent3 2" xfId="155"/>
    <cellStyle name="60% - Accent3 2 2" xfId="156"/>
    <cellStyle name="60% - Accent4 2" xfId="157"/>
    <cellStyle name="60% - Accent4 2 2" xfId="158"/>
    <cellStyle name="60% - Accent5 2" xfId="159"/>
    <cellStyle name="60% - Accent5 2 2" xfId="160"/>
    <cellStyle name="60% - Accent6 2" xfId="161"/>
    <cellStyle name="60% - Accent6 2 2" xfId="162"/>
    <cellStyle name="Accent1 2" xfId="163"/>
    <cellStyle name="Accent1 2 2" xfId="164"/>
    <cellStyle name="Accent2 2" xfId="165"/>
    <cellStyle name="Accent2 2 2" xfId="166"/>
    <cellStyle name="Accent3 2" xfId="167"/>
    <cellStyle name="Accent3 2 2" xfId="168"/>
    <cellStyle name="Accent4 2" xfId="169"/>
    <cellStyle name="Accent4 2 2" xfId="170"/>
    <cellStyle name="Accent5 2" xfId="171"/>
    <cellStyle name="Accent5 2 2" xfId="172"/>
    <cellStyle name="Accent6 2" xfId="173"/>
    <cellStyle name="Accent6 2 2" xfId="174"/>
    <cellStyle name="Bad 2" xfId="175"/>
    <cellStyle name="Bad 2 2" xfId="176"/>
    <cellStyle name="Calculation 2" xfId="177"/>
    <cellStyle name="Calculation 2 2" xfId="178"/>
    <cellStyle name="Check Cell 2" xfId="179"/>
    <cellStyle name="Check Cell 2 2" xfId="180"/>
    <cellStyle name="Comma" xfId="1" builtinId="3"/>
    <cellStyle name="Comma 10" xfId="181"/>
    <cellStyle name="Comma 11" xfId="182"/>
    <cellStyle name="Comma 12" xfId="6"/>
    <cellStyle name="Comma 13" xfId="183"/>
    <cellStyle name="Comma 2" xfId="184"/>
    <cellStyle name="Comma 2 10" xfId="185"/>
    <cellStyle name="Comma 2 2" xfId="186"/>
    <cellStyle name="Comma 2 2 2" xfId="187"/>
    <cellStyle name="Comma 2 3" xfId="188"/>
    <cellStyle name="Comma 2 4" xfId="189"/>
    <cellStyle name="Comma 2 5" xfId="4"/>
    <cellStyle name="Comma 2 6" xfId="190"/>
    <cellStyle name="Comma 2 7" xfId="191"/>
    <cellStyle name="Comma 2 8" xfId="192"/>
    <cellStyle name="Comma 2 9" xfId="193"/>
    <cellStyle name="Comma 3" xfId="194"/>
    <cellStyle name="Comma 3 2" xfId="195"/>
    <cellStyle name="Comma 3 3" xfId="196"/>
    <cellStyle name="Comma 3 4" xfId="197"/>
    <cellStyle name="Comma 4" xfId="198"/>
    <cellStyle name="Comma 4 2" xfId="199"/>
    <cellStyle name="Comma 4 3" xfId="200"/>
    <cellStyle name="Comma 4 4" xfId="201"/>
    <cellStyle name="Comma 5" xfId="202"/>
    <cellStyle name="Comma 5 2" xfId="203"/>
    <cellStyle name="Comma 5 3" xfId="204"/>
    <cellStyle name="Comma 6" xfId="205"/>
    <cellStyle name="Comma 7" xfId="206"/>
    <cellStyle name="Comma 8" xfId="5"/>
    <cellStyle name="Comma 9" xfId="207"/>
    <cellStyle name="Comma0" xfId="208"/>
    <cellStyle name="Currency 2" xfId="209"/>
    <cellStyle name="Currency 2 2" xfId="210"/>
    <cellStyle name="Currency 2 2 2" xfId="211"/>
    <cellStyle name="Currency 2 3" xfId="212"/>
    <cellStyle name="Currency 2 4" xfId="213"/>
    <cellStyle name="Currency 3" xfId="214"/>
    <cellStyle name="Currency 4" xfId="215"/>
    <cellStyle name="Currency 5" xfId="216"/>
    <cellStyle name="Currency0" xfId="217"/>
    <cellStyle name="Date" xfId="218"/>
    <cellStyle name="Explanatory Text 2" xfId="219"/>
    <cellStyle name="Explanatory Text 2 2" xfId="220"/>
    <cellStyle name="Fixed" xfId="221"/>
    <cellStyle name="Good 2" xfId="222"/>
    <cellStyle name="Good 2 2" xfId="223"/>
    <cellStyle name="greany" xfId="224"/>
    <cellStyle name="Heading 1 2" xfId="225"/>
    <cellStyle name="Heading 1 2 2" xfId="226"/>
    <cellStyle name="Heading 1 3" xfId="227"/>
    <cellStyle name="Heading 1 3 2" xfId="228"/>
    <cellStyle name="Heading 1 4" xfId="229"/>
    <cellStyle name="Heading 2 2" xfId="230"/>
    <cellStyle name="Heading 2 2 2" xfId="231"/>
    <cellStyle name="Heading 2 3" xfId="232"/>
    <cellStyle name="Heading 2 3 2" xfId="233"/>
    <cellStyle name="Heading 2 4" xfId="234"/>
    <cellStyle name="Heading 3 2" xfId="235"/>
    <cellStyle name="Heading 3 2 2" xfId="236"/>
    <cellStyle name="Heading 4 2" xfId="237"/>
    <cellStyle name="Heading 4 2 2" xfId="238"/>
    <cellStyle name="Input 2" xfId="239"/>
    <cellStyle name="Input 2 2" xfId="240"/>
    <cellStyle name="LegFin" xfId="241"/>
    <cellStyle name="Linked Cell 2" xfId="242"/>
    <cellStyle name="Linked Cell 2 2" xfId="243"/>
    <cellStyle name="Neutral 2" xfId="244"/>
    <cellStyle name="Neutral 2 2" xfId="245"/>
    <cellStyle name="Normal" xfId="0" builtinId="0"/>
    <cellStyle name="Normal 10" xfId="246"/>
    <cellStyle name="Normal 11" xfId="247"/>
    <cellStyle name="Normal 12" xfId="248"/>
    <cellStyle name="Normal 13" xfId="249"/>
    <cellStyle name="Normal 14" xfId="250"/>
    <cellStyle name="Normal 15" xfId="251"/>
    <cellStyle name="Normal 16" xfId="3"/>
    <cellStyle name="Normal 2" xfId="252"/>
    <cellStyle name="Normal 2 10" xfId="253"/>
    <cellStyle name="Normal 2 11" xfId="254"/>
    <cellStyle name="Normal 2 2" xfId="255"/>
    <cellStyle name="Normal 2 3" xfId="256"/>
    <cellStyle name="Normal 2 3 2" xfId="257"/>
    <cellStyle name="Normal 2 4" xfId="258"/>
    <cellStyle name="Normal 2 4 2" xfId="259"/>
    <cellStyle name="Normal 2 5" xfId="260"/>
    <cellStyle name="Normal 2 5 2" xfId="261"/>
    <cellStyle name="Normal 2 6" xfId="262"/>
    <cellStyle name="Normal 2 7" xfId="263"/>
    <cellStyle name="Normal 2 8" xfId="264"/>
    <cellStyle name="Normal 2 9" xfId="265"/>
    <cellStyle name="Normal 3" xfId="266"/>
    <cellStyle name="Normal 3 10" xfId="267"/>
    <cellStyle name="Normal 3 10 2" xfId="268"/>
    <cellStyle name="Normal 3 2" xfId="269"/>
    <cellStyle name="Normal 3 2 2" xfId="270"/>
    <cellStyle name="Normal 3 2 2 2" xfId="271"/>
    <cellStyle name="Normal 3 2 2 3" xfId="272"/>
    <cellStyle name="Normal 3 2 3" xfId="273"/>
    <cellStyle name="Normal 3 2 3 2" xfId="274"/>
    <cellStyle name="Normal 3 2 4" xfId="275"/>
    <cellStyle name="Normal 3 2 4 2" xfId="276"/>
    <cellStyle name="Normal 3 2 5" xfId="277"/>
    <cellStyle name="Normal 3 2 5 2" xfId="278"/>
    <cellStyle name="Normal 3 2 6" xfId="279"/>
    <cellStyle name="Normal 3 2 6 2" xfId="280"/>
    <cellStyle name="Normal 3 2 7" xfId="281"/>
    <cellStyle name="Normal 3 2 8" xfId="282"/>
    <cellStyle name="Normal 3 3" xfId="283"/>
    <cellStyle name="Normal 3 3 2" xfId="284"/>
    <cellStyle name="Normal 3 3 2 2" xfId="285"/>
    <cellStyle name="Normal 3 3 3" xfId="286"/>
    <cellStyle name="Normal 3 3 3 2" xfId="287"/>
    <cellStyle name="Normal 3 3 3 3" xfId="288"/>
    <cellStyle name="Normal 3 3 4" xfId="289"/>
    <cellStyle name="Normal 3 3 5" xfId="290"/>
    <cellStyle name="Normal 3 3 6" xfId="291"/>
    <cellStyle name="Normal 3 3 6 2" xfId="292"/>
    <cellStyle name="Normal 3 3 7" xfId="293"/>
    <cellStyle name="Normal 3 4" xfId="294"/>
    <cellStyle name="Normal 3 4 2" xfId="295"/>
    <cellStyle name="Normal 3 4 3" xfId="296"/>
    <cellStyle name="Normal 3 5" xfId="297"/>
    <cellStyle name="Normal 3 5 2" xfId="298"/>
    <cellStyle name="Normal 3 5 2 2" xfId="299"/>
    <cellStyle name="Normal 3 5 3" xfId="300"/>
    <cellStyle name="Normal 3 6" xfId="301"/>
    <cellStyle name="Normal 3 6 2" xfId="302"/>
    <cellStyle name="Normal 3 7" xfId="303"/>
    <cellStyle name="Normal 3 7 2" xfId="304"/>
    <cellStyle name="Normal 3 7 3" xfId="305"/>
    <cellStyle name="Normal 3 8" xfId="306"/>
    <cellStyle name="Normal 3 8 2" xfId="307"/>
    <cellStyle name="Normal 3 9" xfId="308"/>
    <cellStyle name="Normal 3 9 2" xfId="309"/>
    <cellStyle name="Normal 4" xfId="310"/>
    <cellStyle name="Normal 4 2" xfId="311"/>
    <cellStyle name="Normal 4 2 2" xfId="312"/>
    <cellStyle name="Normal 4 2 3" xfId="313"/>
    <cellStyle name="Normal 4 3" xfId="314"/>
    <cellStyle name="Normal 4 3 2" xfId="315"/>
    <cellStyle name="Normal 4 4" xfId="316"/>
    <cellStyle name="Normal 4 4 2" xfId="317"/>
    <cellStyle name="Normal 4 5" xfId="318"/>
    <cellStyle name="Normal 4 5 2" xfId="319"/>
    <cellStyle name="Normal 4 6" xfId="320"/>
    <cellStyle name="Normal 4 6 2" xfId="321"/>
    <cellStyle name="Normal 4 7" xfId="322"/>
    <cellStyle name="Normal 4 8" xfId="323"/>
    <cellStyle name="Normal 5" xfId="324"/>
    <cellStyle name="Normal 5 2" xfId="325"/>
    <cellStyle name="Normal 5 2 2" xfId="326"/>
    <cellStyle name="Normal 5 2 3" xfId="327"/>
    <cellStyle name="Normal 5 3" xfId="328"/>
    <cellStyle name="Normal 5 3 2" xfId="329"/>
    <cellStyle name="Normal 5 3 3" xfId="330"/>
    <cellStyle name="Normal 5 4" xfId="331"/>
    <cellStyle name="Normal 5 4 2" xfId="332"/>
    <cellStyle name="Normal 5 5" xfId="333"/>
    <cellStyle name="Normal 5 6" xfId="334"/>
    <cellStyle name="Normal 5 6 2" xfId="335"/>
    <cellStyle name="Normal 5 7" xfId="336"/>
    <cellStyle name="Normal 6" xfId="337"/>
    <cellStyle name="Normal 6 2" xfId="338"/>
    <cellStyle name="Normal 6 2 2" xfId="339"/>
    <cellStyle name="Normal 6 3" xfId="340"/>
    <cellStyle name="Normal 6 3 2" xfId="341"/>
    <cellStyle name="Normal 6 3 3" xfId="342"/>
    <cellStyle name="Normal 6 4" xfId="343"/>
    <cellStyle name="Normal 7" xfId="344"/>
    <cellStyle name="Normal 7 2" xfId="345"/>
    <cellStyle name="Normal 7 2 2" xfId="346"/>
    <cellStyle name="Normal 7 3" xfId="347"/>
    <cellStyle name="Normal 7 3 2" xfId="348"/>
    <cellStyle name="Normal 7 3 3" xfId="349"/>
    <cellStyle name="Normal 7 4" xfId="350"/>
    <cellStyle name="Normal 8" xfId="351"/>
    <cellStyle name="Normal 8 2" xfId="352"/>
    <cellStyle name="Normal 8 3" xfId="353"/>
    <cellStyle name="Normal 9" xfId="354"/>
    <cellStyle name="Normal 9 2" xfId="355"/>
    <cellStyle name="Note 2" xfId="356"/>
    <cellStyle name="Note 2 2" xfId="357"/>
    <cellStyle name="Note 2 2 2" xfId="358"/>
    <cellStyle name="Note 2 3" xfId="359"/>
    <cellStyle name="Note 2 4" xfId="360"/>
    <cellStyle name="Note 2 5" xfId="361"/>
    <cellStyle name="Note 2 6" xfId="362"/>
    <cellStyle name="Note 2 7" xfId="363"/>
    <cellStyle name="Note 3" xfId="364"/>
    <cellStyle name="Note 3 2" xfId="365"/>
    <cellStyle name="Note 4" xfId="366"/>
    <cellStyle name="Note 5" xfId="367"/>
    <cellStyle name="Note 6" xfId="368"/>
    <cellStyle name="Note 7" xfId="369"/>
    <cellStyle name="Output 2" xfId="370"/>
    <cellStyle name="Output 2 2" xfId="371"/>
    <cellStyle name="Percent" xfId="2" builtinId="5"/>
    <cellStyle name="Percent 2" xfId="372"/>
    <cellStyle name="Percent 2 2" xfId="373"/>
    <cellStyle name="Percent 2 2 2" xfId="374"/>
    <cellStyle name="Percent 2 3" xfId="375"/>
    <cellStyle name="Percent 2 4" xfId="376"/>
    <cellStyle name="Percent 2 5" xfId="377"/>
    <cellStyle name="Percent 2 6" xfId="378"/>
    <cellStyle name="Percent 2 7" xfId="379"/>
    <cellStyle name="Percent 2 8" xfId="380"/>
    <cellStyle name="Percent 3" xfId="381"/>
    <cellStyle name="Percent 4" xfId="382"/>
    <cellStyle name="Percent 4 2" xfId="383"/>
    <cellStyle name="Percent 4 3" xfId="384"/>
    <cellStyle name="Percent 4 4" xfId="385"/>
    <cellStyle name="Percent 5" xfId="386"/>
    <cellStyle name="Title 2" xfId="387"/>
    <cellStyle name="Total 2" xfId="388"/>
    <cellStyle name="Total 2 2" xfId="389"/>
    <cellStyle name="Total 3" xfId="390"/>
    <cellStyle name="Total 4" xfId="391"/>
    <cellStyle name="Warning Text 2" xfId="392"/>
    <cellStyle name="Warning Text 2 2" xfId="39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0"/>
  <c:chart>
    <c:title>
      <c:layout/>
    </c:title>
    <c:plotArea>
      <c:layout/>
      <c:lineChart>
        <c:grouping val="standard"/>
        <c:ser>
          <c:idx val="0"/>
          <c:order val="0"/>
          <c:tx>
            <c:v>Anchorage CPI</c:v>
          </c:tx>
          <c:marker>
            <c:symbol val="none"/>
          </c:marker>
          <c:cat>
            <c:strRef>
              <c:f>DATA!$A$41:$A$61</c:f>
              <c:strCache>
                <c:ptCount val="21"/>
                <c:pt idx="0">
                  <c:v>FY98</c:v>
                </c:pt>
                <c:pt idx="1">
                  <c:v>FY99</c:v>
                </c:pt>
                <c:pt idx="2">
                  <c:v>FY00</c:v>
                </c:pt>
                <c:pt idx="3">
                  <c:v>FY01</c:v>
                </c:pt>
                <c:pt idx="4">
                  <c:v>FY02</c:v>
                </c:pt>
                <c:pt idx="5">
                  <c:v>FY03</c:v>
                </c:pt>
                <c:pt idx="6">
                  <c:v>FY04</c:v>
                </c:pt>
                <c:pt idx="7">
                  <c:v>FY05</c:v>
                </c:pt>
                <c:pt idx="8">
                  <c:v>FY06</c:v>
                </c:pt>
                <c:pt idx="9">
                  <c:v>FY07</c:v>
                </c:pt>
                <c:pt idx="10">
                  <c:v>FY08</c:v>
                </c:pt>
                <c:pt idx="11">
                  <c:v>FY09</c:v>
                </c:pt>
                <c:pt idx="12">
                  <c:v>FY10</c:v>
                </c:pt>
                <c:pt idx="13">
                  <c:v>FY11</c:v>
                </c:pt>
                <c:pt idx="14">
                  <c:v>FY12</c:v>
                </c:pt>
                <c:pt idx="15">
                  <c:v>FY13</c:v>
                </c:pt>
                <c:pt idx="16">
                  <c:v>FY14</c:v>
                </c:pt>
                <c:pt idx="17">
                  <c:v>FY15</c:v>
                </c:pt>
                <c:pt idx="18">
                  <c:v>FY16</c:v>
                </c:pt>
                <c:pt idx="19">
                  <c:v>FY17</c:v>
                </c:pt>
                <c:pt idx="20">
                  <c:v>FY18</c:v>
                </c:pt>
              </c:strCache>
            </c:strRef>
          </c:cat>
          <c:val>
            <c:numRef>
              <c:f>DATA!$E$41:$E$61</c:f>
              <c:numCache>
                <c:formatCode>0.00%</c:formatCode>
                <c:ptCount val="21"/>
                <c:pt idx="0">
                  <c:v>1.4502762430939287E-2</c:v>
                </c:pt>
                <c:pt idx="1">
                  <c:v>1.0211027910143056E-2</c:v>
                </c:pt>
                <c:pt idx="2">
                  <c:v>1.6846361185983927E-2</c:v>
                </c:pt>
                <c:pt idx="3">
                  <c:v>2.8495692511596893E-2</c:v>
                </c:pt>
                <c:pt idx="4">
                  <c:v>1.9329896907216426E-2</c:v>
                </c:pt>
                <c:pt idx="5">
                  <c:v>2.7180783817952081E-2</c:v>
                </c:pt>
                <c:pt idx="6">
                  <c:v>2.5846153846153852E-2</c:v>
                </c:pt>
                <c:pt idx="7">
                  <c:v>3.0593881223755393E-2</c:v>
                </c:pt>
                <c:pt idx="8">
                  <c:v>3.2013969732246794E-2</c:v>
                </c:pt>
                <c:pt idx="9">
                  <c:v>2.2205301748448925E-2</c:v>
                </c:pt>
                <c:pt idx="10">
                  <c:v>4.5575682669653617E-2</c:v>
                </c:pt>
                <c:pt idx="11">
                  <c:v>1.1857707509881354E-2</c:v>
                </c:pt>
                <c:pt idx="12">
                  <c:v>1.7731975967957281E-2</c:v>
                </c:pt>
                <c:pt idx="13">
                  <c:v>3.2196736768745016E-2</c:v>
                </c:pt>
                <c:pt idx="14">
                  <c:v>2.2285989465166134E-2</c:v>
                </c:pt>
                <c:pt idx="15">
                  <c:v>3.1396297519376892E-2</c:v>
                </c:pt>
                <c:pt idx="16">
                  <c:v>1.609842688376073E-2</c:v>
                </c:pt>
                <c:pt idx="17">
                  <c:v>5.0973123262278985E-3</c:v>
                </c:pt>
                <c:pt idx="18">
                  <c:v>4.2876901798063471E-3</c:v>
                </c:pt>
                <c:pt idx="19">
                  <c:v>4.7881375384473124E-3</c:v>
                </c:pt>
                <c:pt idx="20">
                  <c:v>3.0277832350267042E-2</c:v>
                </c:pt>
              </c:numCache>
            </c:numRef>
          </c:val>
        </c:ser>
        <c:marker val="1"/>
        <c:axId val="80306560"/>
        <c:axId val="80308096"/>
      </c:lineChart>
      <c:catAx>
        <c:axId val="80306560"/>
        <c:scaling>
          <c:orientation val="minMax"/>
        </c:scaling>
        <c:axPos val="b"/>
        <c:majorTickMark val="none"/>
        <c:tickLblPos val="nextTo"/>
        <c:crossAx val="80308096"/>
        <c:crosses val="autoZero"/>
        <c:auto val="1"/>
        <c:lblAlgn val="ctr"/>
        <c:lblOffset val="100"/>
      </c:catAx>
      <c:valAx>
        <c:axId val="80308096"/>
        <c:scaling>
          <c:orientation val="minMax"/>
        </c:scaling>
        <c:axPos val="l"/>
        <c:majorGridlines/>
        <c:numFmt formatCode="0.00%" sourceLinked="1"/>
        <c:majorTickMark val="none"/>
        <c:tickLblPos val="nextTo"/>
        <c:spPr>
          <a:ln w="9525">
            <a:noFill/>
          </a:ln>
        </c:spPr>
        <c:crossAx val="80306560"/>
        <c:crosses val="autoZero"/>
        <c:crossBetween val="between"/>
      </c:valAx>
    </c:plotArea>
    <c:plotVisOnly val="1"/>
  </c:chart>
  <c:printSettings>
    <c:headerFooter>
      <c:oddFooter>&amp;C&amp;"Brush Script MT,Italic"Legislative Finance Division&amp;R&amp;D</c:oddFooter>
    </c:headerFooter>
    <c:pageMargins b="0.75000000000000344" l="0.70000000000000062" r="0.70000000000000062" t="0.75000000000000344" header="0.30000000000000032" footer="0.30000000000000032"/>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95250</xdr:colOff>
      <xdr:row>71</xdr:row>
      <xdr:rowOff>19050</xdr:rowOff>
    </xdr:from>
    <xdr:to>
      <xdr:col>26</xdr:col>
      <xdr:colOff>285750</xdr:colOff>
      <xdr:row>74</xdr:row>
      <xdr:rowOff>85725</xdr:rowOff>
    </xdr:to>
    <xdr:sp macro="" textlink="">
      <xdr:nvSpPr>
        <xdr:cNvPr id="2" name="TextBox 1"/>
        <xdr:cNvSpPr txBox="1"/>
      </xdr:nvSpPr>
      <xdr:spPr>
        <a:xfrm>
          <a:off x="14116050" y="11515725"/>
          <a:ext cx="2019300" cy="552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will need updating if Gov</a:t>
          </a:r>
          <a:r>
            <a:rPr lang="en-US" sz="1100" baseline="0"/>
            <a:t> introduces revenue measures </a:t>
          </a:r>
        </a:p>
        <a:p>
          <a:endParaRPr lang="en-US" sz="1100"/>
        </a:p>
      </xdr:txBody>
    </xdr:sp>
    <xdr:clientData/>
  </xdr:twoCellAnchor>
  <xdr:twoCellAnchor>
    <xdr:from>
      <xdr:col>21</xdr:col>
      <xdr:colOff>590549</xdr:colOff>
      <xdr:row>20</xdr:row>
      <xdr:rowOff>19050</xdr:rowOff>
    </xdr:from>
    <xdr:to>
      <xdr:col>26</xdr:col>
      <xdr:colOff>428624</xdr:colOff>
      <xdr:row>34</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Budget%20History_FY75-Present_Janua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Budget%20History,%20Approp%20Limit\Historical%20Funding\Budget%20History%2075-present\Current\Capital_Operating_Positions_Revenue_FY75-Pres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 Bud Nom vs Real"/>
      <sheetName val="UGF Revenue"/>
      <sheetName val="UGF Rev+Ops"/>
      <sheetName val="UGF Rev+Ops+Stwd Ops"/>
      <sheetName val="UGF Rev+Ops+StwdOps+Cap"/>
      <sheetName val="UGF Rev+Ops+StwdOps+Cap+Xfer"/>
      <sheetName val="UGF Rev+Ops+StwdOps+Cap+ (2)"/>
      <sheetName val="Population"/>
      <sheetName val="C-Inflation"/>
      <sheetName val="C- UGF Rev &amp; Budget Nominal"/>
      <sheetName val="C- Real UGF Rev &amp; Budget"/>
      <sheetName val="C- PerCap UGF Rev &amp; Budget"/>
      <sheetName val="C- Real PerCap UGF Rev&amp;Budget "/>
      <sheetName val="C- Real PerCap UGF Rev&amp;Budg (2)"/>
      <sheetName val="Real PerCap UGF Rev&amp;Budg_FY00"/>
      <sheetName val="C- Real PerCap All Funds"/>
      <sheetName val="C- Real PerCap All Funds (2)"/>
      <sheetName val="Reserves Data"/>
      <sheetName val="CBR and SBR "/>
      <sheetName val="Savings w ERA"/>
      <sheetName val="Savings w ERA Gov Req"/>
    </sheetNames>
    <sheetDataSet>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art_Events"/>
      <sheetName val="Analysis"/>
      <sheetName val="SUMMARY"/>
      <sheetName val="Op. Lang. Approp."/>
      <sheetName val="Unrestrict_Gen_ Purp_ Revenue"/>
      <sheetName val="Permanant Fund"/>
      <sheetName val="Capital_Num Detail"/>
      <sheetName val="Operating_Num Detail"/>
      <sheetName val="Debt Service"/>
      <sheetName val="Oil Projection Chart"/>
      <sheetName val="Oil Projections updated 7 25 00"/>
      <sheetName val="$10 Oil"/>
      <sheetName val="Rev_vs_ Exp_adj 4 INFL"/>
      <sheetName val="AVG per resident"/>
      <sheetName val="AVG per resident no IA"/>
      <sheetName val="Population"/>
      <sheetName val="Positions"/>
      <sheetName val="Chart's etc."/>
    </sheetNames>
    <sheetDataSet>
      <sheetData sheetId="0" refreshError="1"/>
      <sheetData sheetId="1" refreshError="1"/>
      <sheetData sheetId="2" refreshError="1"/>
      <sheetData sheetId="3" refreshError="1"/>
      <sheetData sheetId="4" refreshError="1"/>
      <sheetData sheetId="5" refreshError="1"/>
      <sheetData sheetId="6">
        <row r="167">
          <cell r="B167" t="str">
            <v>Total All Funds</v>
          </cell>
          <cell r="C167">
            <v>0</v>
          </cell>
          <cell r="D167">
            <v>0</v>
          </cell>
          <cell r="E167">
            <v>0</v>
          </cell>
          <cell r="F167">
            <v>0</v>
          </cell>
          <cell r="G167">
            <v>0</v>
          </cell>
          <cell r="H167">
            <v>0</v>
          </cell>
          <cell r="I167">
            <v>0</v>
          </cell>
          <cell r="J167">
            <v>0</v>
          </cell>
          <cell r="K167">
            <v>188967.80000000002</v>
          </cell>
          <cell r="L167">
            <v>29106.400000000001</v>
          </cell>
          <cell r="M167">
            <v>463824.3</v>
          </cell>
          <cell r="N167">
            <v>57516.800000000003</v>
          </cell>
          <cell r="O167">
            <v>353014.39999999997</v>
          </cell>
          <cell r="P167">
            <v>192113.1</v>
          </cell>
          <cell r="Q167">
            <v>779655.10000000009</v>
          </cell>
          <cell r="R167">
            <v>837746.69999999984</v>
          </cell>
          <cell r="S167">
            <v>587669.5</v>
          </cell>
          <cell r="T167">
            <v>900201.8</v>
          </cell>
          <cell r="U167">
            <v>1239392.2000000002</v>
          </cell>
          <cell r="V167">
            <v>863803.4</v>
          </cell>
          <cell r="W167">
            <v>620638.9</v>
          </cell>
          <cell r="X167">
            <v>343315.1</v>
          </cell>
          <cell r="Y167">
            <v>377455</v>
          </cell>
          <cell r="Z167">
            <v>343507.50000000006</v>
          </cell>
          <cell r="AA167">
            <v>416283.8</v>
          </cell>
          <cell r="AB167">
            <v>686147.2</v>
          </cell>
          <cell r="AC167">
            <v>704179.64199999999</v>
          </cell>
          <cell r="AD167">
            <v>951739.8</v>
          </cell>
          <cell r="AE167">
            <v>663936.9</v>
          </cell>
          <cell r="AF167">
            <v>579598.94900000002</v>
          </cell>
          <cell r="AG167">
            <v>640738.58700000017</v>
          </cell>
          <cell r="AH167">
            <v>615717.47499999998</v>
          </cell>
          <cell r="AI167">
            <v>1207692.5970000003</v>
          </cell>
          <cell r="AJ167">
            <v>1136364.8469999998</v>
          </cell>
          <cell r="AK167">
            <v>1251769.6809999999</v>
          </cell>
          <cell r="AL167">
            <v>1219755.0659999999</v>
          </cell>
        </row>
      </sheetData>
      <sheetData sheetId="7">
        <row r="168">
          <cell r="B168" t="str">
            <v>TOTAL</v>
          </cell>
          <cell r="C168">
            <v>629317.1</v>
          </cell>
          <cell r="D168">
            <v>49090.978999999992</v>
          </cell>
          <cell r="E168">
            <v>37535.1</v>
          </cell>
          <cell r="F168">
            <v>715943.179</v>
          </cell>
          <cell r="G168">
            <v>719870.4</v>
          </cell>
          <cell r="H168">
            <v>91288.458999999988</v>
          </cell>
          <cell r="I168">
            <v>58996.2</v>
          </cell>
          <cell r="J168">
            <v>870155.05899999989</v>
          </cell>
          <cell r="K168">
            <v>884436.09999999986</v>
          </cell>
          <cell r="L168">
            <v>29636.268</v>
          </cell>
          <cell r="M168">
            <v>87456.4</v>
          </cell>
          <cell r="N168">
            <v>1001528.7679999998</v>
          </cell>
          <cell r="O168">
            <v>1026989.2000000001</v>
          </cell>
          <cell r="P168">
            <v>52919.22</v>
          </cell>
          <cell r="Q168">
            <v>40012.6</v>
          </cell>
          <cell r="R168">
            <v>1119921.0199999998</v>
          </cell>
          <cell r="S168">
            <v>1192271.2999999993</v>
          </cell>
          <cell r="T168">
            <v>15118.1</v>
          </cell>
          <cell r="U168">
            <v>19890.2</v>
          </cell>
          <cell r="V168">
            <v>1227279.5999999996</v>
          </cell>
          <cell r="W168">
            <v>1293560.9999999993</v>
          </cell>
          <cell r="X168">
            <v>99382.800000000017</v>
          </cell>
          <cell r="Y168">
            <v>62688.458999999995</v>
          </cell>
          <cell r="Z168">
            <v>1455632.2589999996</v>
          </cell>
          <cell r="AA168">
            <v>1822305.1999999995</v>
          </cell>
          <cell r="AB168">
            <v>88944.3</v>
          </cell>
          <cell r="AC168">
            <v>49135.123</v>
          </cell>
          <cell r="AD168">
            <v>1960384.6229999994</v>
          </cell>
          <cell r="AE168">
            <v>2363791.7999999998</v>
          </cell>
          <cell r="AF168">
            <v>11990.9</v>
          </cell>
          <cell r="AG168">
            <v>10047.400000000001</v>
          </cell>
          <cell r="AH168">
            <v>2385830.0999999996</v>
          </cell>
          <cell r="AI168">
            <v>2458382.9000000008</v>
          </cell>
          <cell r="AJ168">
            <v>80083.600000000006</v>
          </cell>
          <cell r="AK168">
            <v>14953.699999999999</v>
          </cell>
          <cell r="AL168">
            <v>2553420.2000000007</v>
          </cell>
          <cell r="AM168">
            <v>2449706.1000000006</v>
          </cell>
          <cell r="AN168">
            <v>18156</v>
          </cell>
          <cell r="AO168">
            <v>17615.599999999999</v>
          </cell>
          <cell r="AP168">
            <v>2485477.6999999997</v>
          </cell>
          <cell r="AQ168">
            <v>2993769.2000000007</v>
          </cell>
          <cell r="AR168">
            <v>15762.999999999998</v>
          </cell>
          <cell r="AS168">
            <v>13735.900000000001</v>
          </cell>
          <cell r="AT168">
            <v>3023268.1</v>
          </cell>
          <cell r="AU168">
            <v>2642908.600000001</v>
          </cell>
          <cell r="AV168">
            <v>7648.7999999999993</v>
          </cell>
          <cell r="AW168">
            <v>13786.7</v>
          </cell>
          <cell r="AX168">
            <v>2664344.100000001</v>
          </cell>
          <cell r="AY168">
            <v>2695374.9</v>
          </cell>
          <cell r="AZ168">
            <v>27561.200000000001</v>
          </cell>
          <cell r="BA168">
            <v>34736.300000000003</v>
          </cell>
          <cell r="BB168">
            <v>2757672.4</v>
          </cell>
          <cell r="BC168">
            <v>2505493.4000000004</v>
          </cell>
          <cell r="BD168">
            <v>92667.199999999997</v>
          </cell>
          <cell r="BE168">
            <v>27111.200000000004</v>
          </cell>
          <cell r="BF168">
            <v>2625271.7999999998</v>
          </cell>
          <cell r="BG168">
            <v>2852339.2</v>
          </cell>
          <cell r="BH168">
            <v>91395.199999999983</v>
          </cell>
          <cell r="BI168">
            <v>18682.3</v>
          </cell>
          <cell r="BJ168">
            <v>2962416.6999999997</v>
          </cell>
          <cell r="BK168">
            <v>2942959.7999999989</v>
          </cell>
          <cell r="BL168">
            <v>99981.2</v>
          </cell>
          <cell r="BM168">
            <v>59184.200000000004</v>
          </cell>
          <cell r="BN168">
            <v>3102125.1999999997</v>
          </cell>
          <cell r="BO168">
            <v>3071758.6000000006</v>
          </cell>
          <cell r="BP168">
            <v>146895.5</v>
          </cell>
          <cell r="BQ168">
            <v>61306.399999999994</v>
          </cell>
          <cell r="BR168">
            <v>3279960.4999999991</v>
          </cell>
          <cell r="BS168">
            <v>3453699.1999999997</v>
          </cell>
          <cell r="BT168">
            <v>114624.79999999999</v>
          </cell>
          <cell r="BU168">
            <v>50417.2</v>
          </cell>
          <cell r="BV168">
            <v>3618741.1999999997</v>
          </cell>
          <cell r="BW168">
            <v>3535970.6999999993</v>
          </cell>
          <cell r="BX168">
            <v>58458.6</v>
          </cell>
          <cell r="BY168">
            <v>112296.9</v>
          </cell>
          <cell r="BZ168">
            <v>3706726.1999999993</v>
          </cell>
          <cell r="CA168">
            <v>3730403.4</v>
          </cell>
          <cell r="CB168">
            <v>66520.7</v>
          </cell>
          <cell r="CC168">
            <v>106981.79999999999</v>
          </cell>
          <cell r="CD168">
            <v>3903905.9000000008</v>
          </cell>
          <cell r="CE168">
            <v>3768509.3000000007</v>
          </cell>
          <cell r="CF168">
            <v>90173.900000000009</v>
          </cell>
          <cell r="CG168">
            <v>59194.2</v>
          </cell>
          <cell r="CH168">
            <v>3917877.4</v>
          </cell>
          <cell r="CI168">
            <v>3818784.5999999987</v>
          </cell>
          <cell r="CJ168">
            <v>64936.9</v>
          </cell>
          <cell r="CK168">
            <v>111360</v>
          </cell>
          <cell r="CL168">
            <v>3995081.4999999995</v>
          </cell>
          <cell r="CM168">
            <v>3835956.2</v>
          </cell>
          <cell r="CN168">
            <v>28110.9</v>
          </cell>
          <cell r="CO168">
            <v>55149.2</v>
          </cell>
          <cell r="CP168">
            <v>3919216.3000000003</v>
          </cell>
          <cell r="CQ168">
            <v>3877542.2</v>
          </cell>
          <cell r="CR168">
            <v>75908.399999999994</v>
          </cell>
          <cell r="CS168">
            <v>23751.499999999996</v>
          </cell>
          <cell r="CT168">
            <v>3977202.100000001</v>
          </cell>
          <cell r="CU168">
            <v>4025424.9</v>
          </cell>
          <cell r="CV168">
            <v>26686.5</v>
          </cell>
          <cell r="CW168">
            <v>104573.8</v>
          </cell>
          <cell r="CX168">
            <v>4156685.1999999993</v>
          </cell>
          <cell r="CY168">
            <v>4253981.2999999989</v>
          </cell>
          <cell r="CZ168">
            <v>124975.2</v>
          </cell>
          <cell r="DA168">
            <v>8190.5069999999996</v>
          </cell>
          <cell r="DB168">
            <v>4387147.0069999984</v>
          </cell>
          <cell r="DC168">
            <v>4303008.5</v>
          </cell>
          <cell r="DD168">
            <v>0</v>
          </cell>
          <cell r="DE168">
            <v>0</v>
          </cell>
          <cell r="DF168">
            <v>4303008.5</v>
          </cell>
        </row>
        <row r="170">
          <cell r="B170" t="str">
            <v>General Fund Group</v>
          </cell>
          <cell r="C170">
            <v>446941.1</v>
          </cell>
          <cell r="D170">
            <v>44490.928999999996</v>
          </cell>
          <cell r="E170">
            <v>0</v>
          </cell>
          <cell r="F170">
            <v>491432.02899999998</v>
          </cell>
          <cell r="G170">
            <v>540153.5</v>
          </cell>
          <cell r="H170">
            <v>37312.781999999999</v>
          </cell>
          <cell r="I170">
            <v>0</v>
          </cell>
          <cell r="J170">
            <v>577466.28200000001</v>
          </cell>
          <cell r="K170">
            <v>659584.19999999995</v>
          </cell>
          <cell r="L170">
            <v>28066.940999999999</v>
          </cell>
          <cell r="M170">
            <v>0</v>
          </cell>
          <cell r="N170">
            <v>687651.14099999995</v>
          </cell>
          <cell r="O170">
            <v>784549.29999999993</v>
          </cell>
          <cell r="P170">
            <v>23074.587</v>
          </cell>
          <cell r="Q170">
            <v>0</v>
          </cell>
          <cell r="R170">
            <v>807623.88699999999</v>
          </cell>
          <cell r="S170">
            <v>893785.9</v>
          </cell>
          <cell r="T170">
            <v>13395.199999999999</v>
          </cell>
          <cell r="U170">
            <v>0</v>
          </cell>
          <cell r="V170">
            <v>907181.10000000009</v>
          </cell>
          <cell r="W170">
            <v>961907.3</v>
          </cell>
          <cell r="X170">
            <v>92607.8</v>
          </cell>
          <cell r="Y170">
            <v>0</v>
          </cell>
          <cell r="Z170">
            <v>1054515.1000000001</v>
          </cell>
          <cell r="AA170">
            <v>1444902.8</v>
          </cell>
          <cell r="AB170">
            <v>88944.3</v>
          </cell>
          <cell r="AC170">
            <v>0</v>
          </cell>
          <cell r="AD170">
            <v>1533847.1</v>
          </cell>
          <cell r="AE170">
            <v>1927097.4000000001</v>
          </cell>
          <cell r="AF170">
            <v>11990.9</v>
          </cell>
          <cell r="AG170">
            <v>0</v>
          </cell>
          <cell r="AH170">
            <v>1939088.2999999998</v>
          </cell>
          <cell r="AI170">
            <v>1928100.5</v>
          </cell>
          <cell r="AJ170">
            <v>38935.599999999999</v>
          </cell>
          <cell r="AK170">
            <v>300</v>
          </cell>
          <cell r="AL170">
            <v>1967336.1</v>
          </cell>
          <cell r="AM170">
            <v>1789091.2999999998</v>
          </cell>
          <cell r="AN170">
            <v>18156</v>
          </cell>
          <cell r="AO170">
            <v>44.399999999999977</v>
          </cell>
          <cell r="AP170">
            <v>1807291.7</v>
          </cell>
          <cell r="AQ170">
            <v>2261397.5</v>
          </cell>
          <cell r="AR170">
            <v>13633.2</v>
          </cell>
          <cell r="AS170">
            <v>0</v>
          </cell>
          <cell r="AT170">
            <v>2275030.6999999997</v>
          </cell>
          <cell r="AU170">
            <v>2026394.4</v>
          </cell>
          <cell r="AV170">
            <v>6936.4</v>
          </cell>
          <cell r="AW170">
            <v>0</v>
          </cell>
          <cell r="AX170">
            <v>2033330.8</v>
          </cell>
          <cell r="AY170">
            <v>2022552.7</v>
          </cell>
          <cell r="AZ170">
            <v>22872.9</v>
          </cell>
          <cell r="BA170">
            <v>0</v>
          </cell>
          <cell r="BB170">
            <v>2045425.6</v>
          </cell>
          <cell r="BC170">
            <v>1861365.6</v>
          </cell>
          <cell r="BD170">
            <v>65135.1</v>
          </cell>
          <cell r="BE170">
            <v>3916.1</v>
          </cell>
          <cell r="BF170">
            <v>1930416.8</v>
          </cell>
          <cell r="BG170">
            <v>2131479.8000000003</v>
          </cell>
          <cell r="BH170">
            <v>76294.2</v>
          </cell>
          <cell r="BI170">
            <v>731.69999999999993</v>
          </cell>
          <cell r="BJ170">
            <v>2208505.6999999997</v>
          </cell>
          <cell r="BK170">
            <v>2173105.2000000002</v>
          </cell>
          <cell r="BL170">
            <v>80891.599999999991</v>
          </cell>
          <cell r="BM170">
            <v>22962.400000000001</v>
          </cell>
          <cell r="BN170">
            <v>2276959.2000000002</v>
          </cell>
          <cell r="BO170">
            <v>2188110.1</v>
          </cell>
          <cell r="BP170">
            <v>137626.70000000001</v>
          </cell>
          <cell r="BQ170">
            <v>5451.2</v>
          </cell>
          <cell r="BR170">
            <v>2331187.9999999995</v>
          </cell>
          <cell r="BS170">
            <v>2204496.5</v>
          </cell>
          <cell r="BT170">
            <v>94490.4</v>
          </cell>
          <cell r="BU170">
            <v>7768.6</v>
          </cell>
          <cell r="BV170">
            <v>2306755.5</v>
          </cell>
          <cell r="BW170">
            <v>2173661.7000000002</v>
          </cell>
          <cell r="BX170">
            <v>44666.3</v>
          </cell>
          <cell r="BY170">
            <v>4698</v>
          </cell>
          <cell r="BZ170">
            <v>2223026</v>
          </cell>
          <cell r="CA170">
            <v>2239455.2000000002</v>
          </cell>
          <cell r="CB170">
            <v>37746.799999999996</v>
          </cell>
          <cell r="CC170">
            <v>3351.6</v>
          </cell>
          <cell r="CD170">
            <v>2280553.6</v>
          </cell>
          <cell r="CE170">
            <v>2210548</v>
          </cell>
          <cell r="CF170">
            <v>44389.700000000004</v>
          </cell>
          <cell r="CG170">
            <v>4801.7</v>
          </cell>
          <cell r="CH170">
            <v>2259739.3999999994</v>
          </cell>
          <cell r="CI170">
            <v>2200357.5</v>
          </cell>
          <cell r="CJ170">
            <v>40734.6</v>
          </cell>
          <cell r="CK170">
            <v>2333.8000000000002</v>
          </cell>
          <cell r="CL170">
            <v>2243425.9</v>
          </cell>
          <cell r="CM170">
            <v>2207198.7000000002</v>
          </cell>
          <cell r="CN170">
            <v>8933.6</v>
          </cell>
          <cell r="CO170">
            <v>4243.5</v>
          </cell>
          <cell r="CP170">
            <v>2220375.8000000003</v>
          </cell>
          <cell r="CQ170">
            <v>2131936.2000000002</v>
          </cell>
          <cell r="CR170">
            <v>31820.399999999998</v>
          </cell>
          <cell r="CS170">
            <v>0</v>
          </cell>
          <cell r="CT170">
            <v>2163756.6</v>
          </cell>
          <cell r="CU170">
            <v>2158265.7999999998</v>
          </cell>
          <cell r="CV170">
            <v>13595.800000000001</v>
          </cell>
          <cell r="CW170">
            <v>0</v>
          </cell>
          <cell r="CX170">
            <v>2171861.6</v>
          </cell>
          <cell r="CY170">
            <v>2195040.9999999995</v>
          </cell>
          <cell r="CZ170">
            <v>26809.899999999998</v>
          </cell>
          <cell r="DA170">
            <v>0</v>
          </cell>
          <cell r="DB170">
            <v>2221850.9</v>
          </cell>
          <cell r="DC170">
            <v>2126991.0000000005</v>
          </cell>
          <cell r="DD170">
            <v>0</v>
          </cell>
          <cell r="DE170">
            <v>0</v>
          </cell>
          <cell r="DF170">
            <v>2126991.0000000005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CE555"/>
  <sheetViews>
    <sheetView tabSelected="1" zoomScaleNormal="100" workbookViewId="0">
      <pane xSplit="6" ySplit="1" topLeftCell="G10" activePane="bottomRight" state="frozen"/>
      <selection pane="topRight" activeCell="B1" sqref="B1"/>
      <selection pane="bottomLeft" activeCell="A2" sqref="A2"/>
      <selection pane="bottomRight" activeCell="T44" sqref="T44"/>
    </sheetView>
  </sheetViews>
  <sheetFormatPr defaultRowHeight="12.75"/>
  <cols>
    <col min="1" max="1" width="8.85546875" style="11" bestFit="1" customWidth="1"/>
    <col min="2" max="2" width="9.42578125" bestFit="1" customWidth="1"/>
    <col min="3" max="3" width="11" style="10" bestFit="1" customWidth="1"/>
    <col min="4" max="4" width="7" style="9" bestFit="1" customWidth="1"/>
    <col min="5" max="5" width="7.28515625" style="8" bestFit="1" customWidth="1"/>
    <col min="6" max="6" width="7.140625" bestFit="1" customWidth="1"/>
    <col min="7" max="7" width="7.85546875" style="7" bestFit="1" customWidth="1"/>
    <col min="8" max="8" width="9.5703125" bestFit="1" customWidth="1"/>
    <col min="9" max="9" width="11" customWidth="1"/>
    <col min="10" max="10" width="9.7109375" bestFit="1" customWidth="1"/>
    <col min="11" max="11" width="9.140625" hidden="1" customWidth="1"/>
    <col min="12" max="12" width="9.140625" customWidth="1"/>
    <col min="13" max="13" width="9.5703125" bestFit="1" customWidth="1"/>
    <col min="14" max="14" width="9.140625" bestFit="1" customWidth="1"/>
    <col min="15" max="15" width="10.42578125" customWidth="1"/>
    <col min="16" max="16" width="11.140625" style="3" bestFit="1" customWidth="1"/>
    <col min="17" max="17" width="11.5703125" customWidth="1"/>
    <col min="18" max="18" width="9.140625" bestFit="1" customWidth="1"/>
    <col min="19" max="19" width="11.7109375" customWidth="1"/>
    <col min="20" max="20" width="9.7109375" style="6" bestFit="1" customWidth="1"/>
    <col min="21" max="21" width="10.5703125" customWidth="1"/>
    <col min="22" max="23" width="10.5703125" style="5" customWidth="1"/>
    <col min="24" max="25" width="10.5703125" style="1" customWidth="1"/>
    <col min="26" max="27" width="10.5703125" customWidth="1"/>
    <col min="28" max="28" width="2.28515625" style="4" customWidth="1"/>
    <col min="29" max="29" width="10.42578125" style="2" bestFit="1" customWidth="1"/>
    <col min="30" max="31" width="9.28515625" bestFit="1" customWidth="1"/>
    <col min="32" max="32" width="8.7109375" style="3" bestFit="1" customWidth="1"/>
    <col min="33" max="33" width="9.7109375" bestFit="1" customWidth="1"/>
    <col min="34" max="34" width="9.7109375" customWidth="1"/>
    <col min="35" max="35" width="9.28515625" style="1" bestFit="1" customWidth="1"/>
    <col min="36" max="36" width="9.85546875" style="2" bestFit="1" customWidth="1"/>
    <col min="37" max="39" width="9.28515625" bestFit="1" customWidth="1"/>
    <col min="40" max="40" width="10.28515625" bestFit="1" customWidth="1"/>
    <col min="41" max="43" width="9.28515625" bestFit="1" customWidth="1"/>
    <col min="44" max="50" width="9.28515625" customWidth="1"/>
    <col min="51" max="52" width="12.42578125" style="1" bestFit="1" customWidth="1"/>
    <col min="53" max="54" width="9.28515625" bestFit="1" customWidth="1"/>
    <col min="55" max="56" width="9.28515625" customWidth="1"/>
    <col min="58" max="58" width="9.28515625" bestFit="1" customWidth="1"/>
    <col min="61" max="61" width="9.28515625" bestFit="1" customWidth="1"/>
    <col min="62" max="62" width="13.42578125" bestFit="1" customWidth="1"/>
    <col min="63" max="63" width="3.5703125" customWidth="1"/>
    <col min="64" max="64" width="9.28515625" bestFit="1" customWidth="1"/>
    <col min="68" max="68" width="10.42578125" bestFit="1" customWidth="1"/>
    <col min="69" max="69" width="2.85546875" customWidth="1"/>
    <col min="70" max="70" width="10.5703125" bestFit="1" customWidth="1"/>
    <col min="73" max="73" width="9.28515625" bestFit="1" customWidth="1"/>
    <col min="74" max="74" width="10.42578125" bestFit="1" customWidth="1"/>
    <col min="75" max="75" width="2.85546875" customWidth="1"/>
    <col min="76" max="76" width="10.42578125" bestFit="1" customWidth="1"/>
    <col min="80" max="80" width="10.42578125" bestFit="1" customWidth="1"/>
    <col min="81" max="81" width="10.28515625" bestFit="1" customWidth="1"/>
    <col min="82" max="82" width="4.5703125" customWidth="1"/>
    <col min="83" max="83" width="10.28515625" bestFit="1" customWidth="1"/>
  </cols>
  <sheetData>
    <row r="1" spans="1:83" s="105" customFormat="1" ht="56.25">
      <c r="A1" s="114" t="s">
        <v>155</v>
      </c>
      <c r="B1" s="112" t="s">
        <v>154</v>
      </c>
      <c r="C1" s="112" t="s">
        <v>153</v>
      </c>
      <c r="D1" s="112" t="s">
        <v>152</v>
      </c>
      <c r="E1" s="113" t="s">
        <v>151</v>
      </c>
      <c r="F1" s="112" t="s">
        <v>150</v>
      </c>
      <c r="G1" s="112" t="s">
        <v>149</v>
      </c>
      <c r="H1" s="107" t="s">
        <v>148</v>
      </c>
      <c r="I1" s="107" t="s">
        <v>147</v>
      </c>
      <c r="J1" s="107" t="s">
        <v>146</v>
      </c>
      <c r="K1" s="107" t="s">
        <v>145</v>
      </c>
      <c r="L1" s="107" t="s">
        <v>144</v>
      </c>
      <c r="M1" s="107" t="s">
        <v>143</v>
      </c>
      <c r="N1" s="107" t="s">
        <v>142</v>
      </c>
      <c r="O1" s="107" t="s">
        <v>141</v>
      </c>
      <c r="P1" s="107" t="s">
        <v>140</v>
      </c>
      <c r="Q1" s="107" t="s">
        <v>139</v>
      </c>
      <c r="R1" s="107" t="s">
        <v>138</v>
      </c>
      <c r="S1" s="107" t="s">
        <v>137</v>
      </c>
      <c r="T1" s="109" t="s">
        <v>136</v>
      </c>
      <c r="U1" s="109" t="s">
        <v>135</v>
      </c>
      <c r="V1" s="109" t="s">
        <v>134</v>
      </c>
      <c r="W1" s="109" t="s">
        <v>133</v>
      </c>
      <c r="X1" s="111" t="s">
        <v>132</v>
      </c>
      <c r="Y1" s="111" t="s">
        <v>131</v>
      </c>
      <c r="Z1" s="111" t="s">
        <v>130</v>
      </c>
      <c r="AA1" s="111" t="s">
        <v>129</v>
      </c>
      <c r="AB1" s="110"/>
      <c r="AC1" s="107" t="s">
        <v>128</v>
      </c>
      <c r="AD1" s="107" t="s">
        <v>127</v>
      </c>
      <c r="AE1" s="107" t="s">
        <v>126</v>
      </c>
      <c r="AF1" s="107" t="s">
        <v>125</v>
      </c>
      <c r="AG1" s="107" t="s">
        <v>124</v>
      </c>
      <c r="AH1" s="107"/>
      <c r="AI1" s="109" t="s">
        <v>123</v>
      </c>
      <c r="AJ1" s="107" t="s">
        <v>122</v>
      </c>
      <c r="AK1" s="107" t="s">
        <v>121</v>
      </c>
      <c r="AM1" s="106" t="s">
        <v>120</v>
      </c>
      <c r="AN1" s="107" t="s">
        <v>119</v>
      </c>
      <c r="AO1" s="107" t="s">
        <v>118</v>
      </c>
      <c r="AP1" s="107" t="s">
        <v>117</v>
      </c>
      <c r="AQ1" s="107" t="s">
        <v>116</v>
      </c>
      <c r="AR1" s="108"/>
      <c r="AS1" s="106" t="s">
        <v>115</v>
      </c>
      <c r="AT1" s="107" t="s">
        <v>114</v>
      </c>
      <c r="AU1" s="107" t="s">
        <v>113</v>
      </c>
      <c r="AV1" s="107" t="s">
        <v>112</v>
      </c>
      <c r="AW1" s="106"/>
      <c r="AX1" s="108"/>
      <c r="AY1" s="106" t="s">
        <v>111</v>
      </c>
      <c r="AZ1" s="107" t="s">
        <v>110</v>
      </c>
      <c r="BA1" s="107" t="s">
        <v>109</v>
      </c>
      <c r="BB1" s="107" t="s">
        <v>108</v>
      </c>
      <c r="BC1" s="107" t="s">
        <v>107</v>
      </c>
      <c r="BD1" s="107" t="s">
        <v>106</v>
      </c>
      <c r="BF1" s="106" t="s">
        <v>105</v>
      </c>
      <c r="BG1" s="107" t="s">
        <v>104</v>
      </c>
      <c r="BH1" s="107" t="s">
        <v>103</v>
      </c>
      <c r="BI1" s="106" t="s">
        <v>102</v>
      </c>
      <c r="BJ1" s="106" t="s">
        <v>101</v>
      </c>
      <c r="BL1" s="106" t="s">
        <v>100</v>
      </c>
      <c r="BM1" s="107" t="s">
        <v>99</v>
      </c>
      <c r="BN1" s="107" t="s">
        <v>98</v>
      </c>
      <c r="BO1" s="106" t="s">
        <v>97</v>
      </c>
      <c r="BP1" s="106" t="s">
        <v>96</v>
      </c>
      <c r="BR1" s="106" t="s">
        <v>95</v>
      </c>
      <c r="BS1" s="107" t="s">
        <v>94</v>
      </c>
      <c r="BT1" s="107" t="s">
        <v>93</v>
      </c>
      <c r="BU1" s="106" t="s">
        <v>88</v>
      </c>
      <c r="BV1" s="106" t="s">
        <v>92</v>
      </c>
      <c r="BX1" s="106" t="s">
        <v>91</v>
      </c>
      <c r="BY1" s="107" t="s">
        <v>90</v>
      </c>
      <c r="BZ1" s="107" t="s">
        <v>89</v>
      </c>
      <c r="CA1" s="106" t="s">
        <v>88</v>
      </c>
      <c r="CB1" s="106" t="s">
        <v>87</v>
      </c>
      <c r="CC1" s="106" t="s">
        <v>86</v>
      </c>
      <c r="CE1" s="106" t="s">
        <v>85</v>
      </c>
    </row>
    <row r="2" spans="1:83" s="50" customFormat="1" ht="15">
      <c r="A2" s="101" t="s">
        <v>84</v>
      </c>
      <c r="B2" s="50" t="s">
        <v>68</v>
      </c>
      <c r="C2" s="27">
        <v>224000</v>
      </c>
      <c r="D2" s="104"/>
      <c r="E2" s="103"/>
      <c r="G2" s="98"/>
      <c r="H2" s="94"/>
      <c r="I2" s="94"/>
      <c r="J2" s="59"/>
      <c r="K2" s="94"/>
      <c r="L2" s="94"/>
      <c r="M2" s="94">
        <v>3.1</v>
      </c>
      <c r="N2" s="94"/>
      <c r="O2" s="94"/>
      <c r="P2" s="91">
        <f>SUM(H2:O2)</f>
        <v>3.1</v>
      </c>
      <c r="Q2" s="59">
        <f>P2</f>
        <v>3.1</v>
      </c>
      <c r="R2" s="102">
        <v>22.3</v>
      </c>
      <c r="S2" s="102"/>
      <c r="T2" s="20">
        <f>+P2+R2</f>
        <v>25.400000000000002</v>
      </c>
      <c r="U2" s="97">
        <f>P2/T2</f>
        <v>0.12204724409448818</v>
      </c>
      <c r="V2" s="18"/>
      <c r="W2" s="18"/>
      <c r="X2" s="59"/>
      <c r="Y2" s="59"/>
      <c r="Z2" s="97"/>
      <c r="AA2" s="97"/>
      <c r="AB2" s="89"/>
      <c r="AC2" s="95">
        <v>0</v>
      </c>
      <c r="AD2" s="32"/>
      <c r="AE2" s="81">
        <f>+AC2+AD2</f>
        <v>0</v>
      </c>
      <c r="AF2" s="82">
        <v>0</v>
      </c>
      <c r="AG2" s="81">
        <f>+AE2+AF2</f>
        <v>0</v>
      </c>
      <c r="AH2" s="81"/>
      <c r="AI2" s="32"/>
      <c r="AJ2" s="82"/>
      <c r="AK2" s="81">
        <f>+AI2+AJ2</f>
        <v>0</v>
      </c>
      <c r="AY2" s="59"/>
      <c r="AZ2" s="59"/>
    </row>
    <row r="3" spans="1:83" s="50" customFormat="1" ht="15">
      <c r="A3" s="101" t="s">
        <v>83</v>
      </c>
      <c r="B3" s="50" t="s">
        <v>68</v>
      </c>
      <c r="C3" s="27">
        <v>230400</v>
      </c>
      <c r="D3" s="104"/>
      <c r="E3" s="103"/>
      <c r="G3" s="98"/>
      <c r="H3" s="94"/>
      <c r="I3" s="94"/>
      <c r="J3" s="59"/>
      <c r="K3" s="94"/>
      <c r="L3" s="94"/>
      <c r="M3" s="94">
        <v>5.8</v>
      </c>
      <c r="N3" s="94">
        <v>4.0999999999999996</v>
      </c>
      <c r="O3" s="94"/>
      <c r="P3" s="91">
        <f>SUM(H3:O3)</f>
        <v>9.8999999999999986</v>
      </c>
      <c r="Q3" s="59">
        <f>$Q2+P3</f>
        <v>12.999999999999998</v>
      </c>
      <c r="R3" s="102">
        <v>38.1</v>
      </c>
      <c r="S3" s="102"/>
      <c r="T3" s="20">
        <f>+P3+R3</f>
        <v>48</v>
      </c>
      <c r="U3" s="97">
        <f>P3/T3</f>
        <v>0.20624999999999996</v>
      </c>
      <c r="V3" s="18"/>
      <c r="W3" s="18"/>
      <c r="X3" s="59"/>
      <c r="Y3" s="59"/>
      <c r="Z3" s="97"/>
      <c r="AA3" s="97"/>
      <c r="AB3" s="89"/>
      <c r="AC3" s="95">
        <v>0</v>
      </c>
      <c r="AD3" s="32"/>
      <c r="AE3" s="81">
        <f>+AC3+AD3</f>
        <v>0</v>
      </c>
      <c r="AF3" s="82">
        <v>0</v>
      </c>
      <c r="AG3" s="81">
        <f>+AE3+AF3</f>
        <v>0</v>
      </c>
      <c r="AH3" s="81"/>
      <c r="AI3" s="32"/>
      <c r="AJ3" s="82"/>
      <c r="AK3" s="81">
        <f>+AI3+AJ3</f>
        <v>0</v>
      </c>
      <c r="AY3" s="59"/>
      <c r="AZ3" s="59"/>
    </row>
    <row r="4" spans="1:83" s="50" customFormat="1" ht="15">
      <c r="A4" s="101" t="s">
        <v>82</v>
      </c>
      <c r="B4" s="50" t="s">
        <v>68</v>
      </c>
      <c r="C4" s="27">
        <v>236700</v>
      </c>
      <c r="D4" s="26">
        <v>34.5</v>
      </c>
      <c r="E4" s="21"/>
      <c r="F4" s="87">
        <f>+$D$61/D4</f>
        <v>6.5362318840579707</v>
      </c>
      <c r="G4" s="98"/>
      <c r="H4" s="94"/>
      <c r="I4" s="94"/>
      <c r="J4" s="59"/>
      <c r="K4" s="94"/>
      <c r="L4" s="94"/>
      <c r="M4" s="94">
        <v>2.4</v>
      </c>
      <c r="N4" s="94">
        <v>1.8</v>
      </c>
      <c r="O4" s="94"/>
      <c r="P4" s="91">
        <f>SUM(H4:O4)</f>
        <v>4.2</v>
      </c>
      <c r="Q4" s="59">
        <f>$Q3+P4</f>
        <v>17.2</v>
      </c>
      <c r="R4" s="102">
        <v>36.299999999999997</v>
      </c>
      <c r="S4" s="102"/>
      <c r="T4" s="20">
        <f>+P4+R4</f>
        <v>40.5</v>
      </c>
      <c r="U4" s="97">
        <f>P4/T4</f>
        <v>0.10370370370370371</v>
      </c>
      <c r="V4" s="18"/>
      <c r="W4" s="18"/>
      <c r="X4" s="59"/>
      <c r="Y4" s="59"/>
      <c r="Z4" s="97"/>
      <c r="AA4" s="97"/>
      <c r="AB4" s="89"/>
      <c r="AC4" s="95">
        <v>0</v>
      </c>
      <c r="AD4" s="32"/>
      <c r="AE4" s="81">
        <f>+AC4+AD4</f>
        <v>0</v>
      </c>
      <c r="AF4" s="82">
        <v>0</v>
      </c>
      <c r="AG4" s="81">
        <f>+AE4+AF4</f>
        <v>0</v>
      </c>
      <c r="AH4" s="81"/>
      <c r="AI4" s="32"/>
      <c r="AJ4" s="82"/>
      <c r="AK4" s="81">
        <f>+AI4+AJ4</f>
        <v>0</v>
      </c>
      <c r="AY4" s="59"/>
      <c r="AZ4" s="59"/>
    </row>
    <row r="5" spans="1:83" s="50" customFormat="1" ht="15">
      <c r="A5" s="101" t="s">
        <v>81</v>
      </c>
      <c r="B5" s="16" t="s">
        <v>68</v>
      </c>
      <c r="C5" s="27">
        <v>242800</v>
      </c>
      <c r="D5" s="26">
        <v>34.700000000000003</v>
      </c>
      <c r="E5" s="21">
        <f>+D5/D4-1</f>
        <v>5.7971014492754769E-3</v>
      </c>
      <c r="F5" s="87">
        <f>+$D$61/D5</f>
        <v>6.4985590778097979</v>
      </c>
      <c r="G5" s="98"/>
      <c r="H5" s="94"/>
      <c r="I5" s="94"/>
      <c r="J5" s="59">
        <v>0.2</v>
      </c>
      <c r="K5" s="94"/>
      <c r="L5" s="94"/>
      <c r="M5" s="94">
        <v>4.5</v>
      </c>
      <c r="N5" s="94">
        <v>21.3</v>
      </c>
      <c r="O5" s="94"/>
      <c r="P5" s="91">
        <f>SUM(H5:O5)</f>
        <v>26</v>
      </c>
      <c r="Q5" s="59">
        <f>$Q4+P5</f>
        <v>43.2</v>
      </c>
      <c r="R5" s="102">
        <v>42.9</v>
      </c>
      <c r="S5" s="102"/>
      <c r="T5" s="20">
        <f>+P5+R5</f>
        <v>68.900000000000006</v>
      </c>
      <c r="U5" s="97">
        <f>P5/T5</f>
        <v>0.37735849056603771</v>
      </c>
      <c r="V5" s="18"/>
      <c r="W5" s="18"/>
      <c r="X5" s="59"/>
      <c r="Y5" s="59"/>
      <c r="Z5" s="97"/>
      <c r="AA5" s="97"/>
      <c r="AB5" s="89"/>
      <c r="AC5" s="95">
        <v>0</v>
      </c>
      <c r="AD5" s="32"/>
      <c r="AE5" s="81">
        <f>+AC5+AD5</f>
        <v>0</v>
      </c>
      <c r="AF5" s="82">
        <v>0</v>
      </c>
      <c r="AG5" s="81">
        <f>+AE5+AF5</f>
        <v>0</v>
      </c>
      <c r="AH5" s="81"/>
      <c r="AI5" s="32"/>
      <c r="AJ5" s="82"/>
      <c r="AK5" s="81">
        <f>+AI5+AJ5</f>
        <v>0</v>
      </c>
      <c r="AY5" s="59"/>
      <c r="AZ5" s="59"/>
    </row>
    <row r="6" spans="1:83" s="50" customFormat="1" ht="15">
      <c r="A6" s="101" t="s">
        <v>80</v>
      </c>
      <c r="B6" s="16" t="s">
        <v>68</v>
      </c>
      <c r="C6" s="27">
        <v>249900</v>
      </c>
      <c r="D6" s="26">
        <v>34.799999999999997</v>
      </c>
      <c r="E6" s="21">
        <f>+D6/D5-1</f>
        <v>2.8818443804032867E-3</v>
      </c>
      <c r="F6" s="87">
        <f>+$D$61/D6</f>
        <v>6.4798850574712645</v>
      </c>
      <c r="G6" s="98"/>
      <c r="H6" s="94"/>
      <c r="I6" s="94"/>
      <c r="J6" s="59">
        <v>0.3</v>
      </c>
      <c r="K6" s="94"/>
      <c r="L6" s="94"/>
      <c r="M6" s="94">
        <v>8.6</v>
      </c>
      <c r="N6" s="94">
        <v>18.899999999999999</v>
      </c>
      <c r="O6" s="94"/>
      <c r="P6" s="91">
        <f>SUM(H6:O6)</f>
        <v>27.799999999999997</v>
      </c>
      <c r="Q6" s="59">
        <f>$Q5+P6</f>
        <v>71</v>
      </c>
      <c r="R6" s="102">
        <v>43.8</v>
      </c>
      <c r="S6" s="102"/>
      <c r="T6" s="20">
        <f>+P6+R6</f>
        <v>71.599999999999994</v>
      </c>
      <c r="U6" s="97">
        <f>P6/T6</f>
        <v>0.38826815642458101</v>
      </c>
      <c r="V6" s="18"/>
      <c r="W6" s="18"/>
      <c r="X6" s="59"/>
      <c r="Y6" s="59"/>
      <c r="Z6" s="97"/>
      <c r="AA6" s="97"/>
      <c r="AB6" s="89"/>
      <c r="AC6" s="95">
        <v>0</v>
      </c>
      <c r="AD6" s="32"/>
      <c r="AE6" s="81">
        <f>+AC6+AD6</f>
        <v>0</v>
      </c>
      <c r="AF6" s="82">
        <v>0</v>
      </c>
      <c r="AG6" s="81">
        <f>+AE6+AF6</f>
        <v>0</v>
      </c>
      <c r="AH6" s="81"/>
      <c r="AI6" s="32"/>
      <c r="AJ6" s="82"/>
      <c r="AK6" s="81">
        <f>+AI6+AJ6</f>
        <v>0</v>
      </c>
      <c r="AY6" s="59"/>
      <c r="AZ6" s="59"/>
    </row>
    <row r="7" spans="1:83" s="50" customFormat="1" ht="15">
      <c r="A7" s="101" t="s">
        <v>79</v>
      </c>
      <c r="B7" s="16" t="s">
        <v>68</v>
      </c>
      <c r="C7" s="27">
        <v>253200</v>
      </c>
      <c r="D7" s="26">
        <v>35</v>
      </c>
      <c r="E7" s="21">
        <f>+D7/D6-1</f>
        <v>5.7471264367816577E-3</v>
      </c>
      <c r="F7" s="87">
        <f>+$D$61/D7</f>
        <v>6.4428571428571431</v>
      </c>
      <c r="G7" s="98"/>
      <c r="H7" s="94"/>
      <c r="I7" s="94"/>
      <c r="J7" s="59">
        <v>0.3</v>
      </c>
      <c r="K7" s="94"/>
      <c r="L7" s="94"/>
      <c r="M7" s="94">
        <v>8.6999999999999993</v>
      </c>
      <c r="N7" s="94">
        <v>5.9</v>
      </c>
      <c r="O7" s="94"/>
      <c r="P7" s="91">
        <f>SUM(H7:O7)</f>
        <v>14.9</v>
      </c>
      <c r="Q7" s="59">
        <f>$Q6+P7</f>
        <v>85.9</v>
      </c>
      <c r="R7" s="102">
        <v>52.1</v>
      </c>
      <c r="S7" s="102"/>
      <c r="T7" s="20">
        <f>+P7+R7</f>
        <v>67</v>
      </c>
      <c r="U7" s="97">
        <f>P7/T7</f>
        <v>0.22238805970149253</v>
      </c>
      <c r="V7" s="18"/>
      <c r="W7" s="18"/>
      <c r="X7" s="59"/>
      <c r="Y7" s="59"/>
      <c r="Z7" s="97"/>
      <c r="AA7" s="97"/>
      <c r="AB7" s="89"/>
      <c r="AC7" s="95">
        <v>0</v>
      </c>
      <c r="AD7" s="32"/>
      <c r="AE7" s="81">
        <f>+AC7+AD7</f>
        <v>0</v>
      </c>
      <c r="AF7" s="82">
        <v>0</v>
      </c>
      <c r="AG7" s="81">
        <f>+AE7+AF7</f>
        <v>0</v>
      </c>
      <c r="AH7" s="81"/>
      <c r="AI7" s="32"/>
      <c r="AJ7" s="82"/>
      <c r="AK7" s="81">
        <f>+AI7+AJ7</f>
        <v>0</v>
      </c>
      <c r="AY7" s="59"/>
      <c r="AZ7" s="59"/>
    </row>
    <row r="8" spans="1:83" s="50" customFormat="1" ht="15">
      <c r="A8" s="101" t="s">
        <v>78</v>
      </c>
      <c r="B8" s="16" t="s">
        <v>68</v>
      </c>
      <c r="C8" s="27">
        <v>265200</v>
      </c>
      <c r="D8" s="26">
        <v>35.299999999999997</v>
      </c>
      <c r="E8" s="21">
        <f>+D8/D7-1</f>
        <v>8.5714285714284522E-3</v>
      </c>
      <c r="F8" s="87">
        <f>+$D$61/D8</f>
        <v>6.3881019830028336</v>
      </c>
      <c r="G8" s="98"/>
      <c r="H8" s="94"/>
      <c r="I8" s="94"/>
      <c r="J8" s="59">
        <v>0.3</v>
      </c>
      <c r="K8" s="94"/>
      <c r="L8" s="94"/>
      <c r="M8" s="94">
        <v>8.4</v>
      </c>
      <c r="N8" s="94">
        <v>7.8</v>
      </c>
      <c r="O8" s="94"/>
      <c r="P8" s="91">
        <f>SUM(H8:O8)</f>
        <v>16.5</v>
      </c>
      <c r="Q8" s="59">
        <f>$Q7+P8</f>
        <v>102.4</v>
      </c>
      <c r="R8" s="59">
        <v>66.5</v>
      </c>
      <c r="S8" s="59"/>
      <c r="T8" s="20">
        <f>+P8+R8</f>
        <v>83</v>
      </c>
      <c r="U8" s="97">
        <f>P8/T8</f>
        <v>0.19879518072289157</v>
      </c>
      <c r="V8" s="18"/>
      <c r="W8" s="18"/>
      <c r="X8" s="59"/>
      <c r="Y8" s="59"/>
      <c r="Z8" s="97"/>
      <c r="AA8" s="97"/>
      <c r="AB8" s="89"/>
      <c r="AC8" s="95">
        <v>0</v>
      </c>
      <c r="AD8" s="32"/>
      <c r="AE8" s="81">
        <f>+AC8+AD8</f>
        <v>0</v>
      </c>
      <c r="AF8" s="82">
        <v>0</v>
      </c>
      <c r="AG8" s="81">
        <f>+AE8+AF8</f>
        <v>0</v>
      </c>
      <c r="AH8" s="81"/>
      <c r="AI8" s="32"/>
      <c r="AJ8" s="82"/>
      <c r="AK8" s="81">
        <f>+AI8+AJ8</f>
        <v>0</v>
      </c>
      <c r="AY8" s="59"/>
      <c r="AZ8" s="59"/>
    </row>
    <row r="9" spans="1:83" s="50" customFormat="1" ht="15">
      <c r="A9" s="101" t="s">
        <v>77</v>
      </c>
      <c r="B9" s="16" t="s">
        <v>68</v>
      </c>
      <c r="C9" s="27">
        <v>271500</v>
      </c>
      <c r="D9" s="26">
        <v>36.299999999999997</v>
      </c>
      <c r="E9" s="21">
        <f>+D9/D8-1</f>
        <v>2.8328611898017053E-2</v>
      </c>
      <c r="F9" s="87">
        <f>+$D$61/D9</f>
        <v>6.2121212121212128</v>
      </c>
      <c r="G9" s="98"/>
      <c r="H9" s="94"/>
      <c r="I9" s="94"/>
      <c r="J9" s="59">
        <v>0.3</v>
      </c>
      <c r="K9" s="94"/>
      <c r="L9" s="94"/>
      <c r="M9" s="94">
        <v>8</v>
      </c>
      <c r="N9" s="94">
        <v>13.3</v>
      </c>
      <c r="O9" s="94"/>
      <c r="P9" s="91">
        <f>SUM(H9:O9)</f>
        <v>21.6</v>
      </c>
      <c r="Q9" s="59">
        <f>$Q8+P9</f>
        <v>124</v>
      </c>
      <c r="R9" s="59">
        <v>64.900000000000006</v>
      </c>
      <c r="S9" s="59"/>
      <c r="T9" s="20">
        <f>+P9+R9</f>
        <v>86.5</v>
      </c>
      <c r="U9" s="97">
        <f>P9/T9</f>
        <v>0.24971098265895955</v>
      </c>
      <c r="V9" s="18"/>
      <c r="W9" s="18"/>
      <c r="X9" s="59"/>
      <c r="Y9" s="59"/>
      <c r="Z9" s="97"/>
      <c r="AA9" s="97"/>
      <c r="AB9" s="89"/>
      <c r="AC9" s="95">
        <v>0</v>
      </c>
      <c r="AD9" s="32"/>
      <c r="AE9" s="81">
        <f>+AC9+AD9</f>
        <v>0</v>
      </c>
      <c r="AF9" s="82">
        <v>0</v>
      </c>
      <c r="AG9" s="81">
        <f>+AE9+AF9</f>
        <v>0</v>
      </c>
      <c r="AH9" s="81"/>
      <c r="AI9" s="32"/>
      <c r="AJ9" s="82"/>
      <c r="AK9" s="81">
        <f>+AI9+AJ9</f>
        <v>0</v>
      </c>
      <c r="AY9" s="59"/>
      <c r="AZ9" s="59"/>
    </row>
    <row r="10" spans="1:83" s="50" customFormat="1" ht="15">
      <c r="A10" s="101" t="s">
        <v>76</v>
      </c>
      <c r="B10" s="16" t="s">
        <v>44</v>
      </c>
      <c r="C10" s="27">
        <v>277900</v>
      </c>
      <c r="D10" s="26">
        <v>37.200000000000003</v>
      </c>
      <c r="E10" s="21">
        <f>+D10/D9-1</f>
        <v>2.4793388429752206E-2</v>
      </c>
      <c r="F10" s="87">
        <f>+$D$61/D10</f>
        <v>6.061827956989247</v>
      </c>
      <c r="G10" s="98"/>
      <c r="H10" s="94"/>
      <c r="I10" s="94"/>
      <c r="J10" s="59">
        <v>0.5</v>
      </c>
      <c r="K10" s="94"/>
      <c r="L10" s="94"/>
      <c r="M10" s="94">
        <v>9.6</v>
      </c>
      <c r="N10" s="94">
        <v>11.4</v>
      </c>
      <c r="O10" s="94"/>
      <c r="P10" s="91">
        <f>SUM(H10:O10)</f>
        <v>21.5</v>
      </c>
      <c r="Q10" s="59">
        <f>$Q9+P10</f>
        <v>145.5</v>
      </c>
      <c r="R10" s="59">
        <v>65.099999999999994</v>
      </c>
      <c r="S10" s="59"/>
      <c r="T10" s="20">
        <f>+P10+R10</f>
        <v>86.6</v>
      </c>
      <c r="U10" s="97">
        <f>P10/T10</f>
        <v>0.24826789838337185</v>
      </c>
      <c r="V10" s="18"/>
      <c r="W10" s="18"/>
      <c r="X10" s="59"/>
      <c r="Y10" s="59"/>
      <c r="Z10" s="97"/>
      <c r="AA10" s="97"/>
      <c r="AB10" s="89"/>
      <c r="AC10" s="95">
        <v>0</v>
      </c>
      <c r="AD10" s="32"/>
      <c r="AE10" s="81">
        <f>+AC10+AD10</f>
        <v>0</v>
      </c>
      <c r="AF10" s="82">
        <v>0</v>
      </c>
      <c r="AG10" s="81">
        <f>+AE10+AF10</f>
        <v>0</v>
      </c>
      <c r="AH10" s="81"/>
      <c r="AI10" s="32"/>
      <c r="AJ10" s="82"/>
      <c r="AK10" s="81">
        <f>+AI10+AJ10</f>
        <v>0</v>
      </c>
      <c r="AY10" s="59"/>
      <c r="AZ10" s="59"/>
    </row>
    <row r="11" spans="1:83" s="50" customFormat="1" ht="15">
      <c r="A11" s="101" t="s">
        <v>75</v>
      </c>
      <c r="B11" s="16" t="s">
        <v>44</v>
      </c>
      <c r="C11" s="27">
        <v>284900</v>
      </c>
      <c r="D11" s="26">
        <v>38.1</v>
      </c>
      <c r="E11" s="21">
        <f>+D11/D10-1</f>
        <v>2.4193548387096753E-2</v>
      </c>
      <c r="F11" s="87">
        <f>+$D$61/D11</f>
        <v>5.9186351706036744</v>
      </c>
      <c r="G11" s="98"/>
      <c r="H11" s="94"/>
      <c r="I11" s="94">
        <v>0.1</v>
      </c>
      <c r="J11" s="59">
        <v>10.199999999999999</v>
      </c>
      <c r="K11" s="94"/>
      <c r="L11" s="94"/>
      <c r="M11" s="94">
        <v>17</v>
      </c>
      <c r="N11" s="94">
        <v>24.7</v>
      </c>
      <c r="O11" s="94"/>
      <c r="P11" s="91">
        <f>SUM(H11:O11)</f>
        <v>52</v>
      </c>
      <c r="Q11" s="59">
        <f>$Q10+P11</f>
        <v>197.5</v>
      </c>
      <c r="R11" s="59">
        <v>60.7</v>
      </c>
      <c r="S11" s="59"/>
      <c r="T11" s="20">
        <f>+P11+R11</f>
        <v>112.7</v>
      </c>
      <c r="U11" s="97">
        <f>P11/T11</f>
        <v>0.46140195208518187</v>
      </c>
      <c r="V11" s="18"/>
      <c r="W11" s="18"/>
      <c r="X11" s="59"/>
      <c r="Y11" s="59"/>
      <c r="Z11" s="97"/>
      <c r="AA11" s="97"/>
      <c r="AB11" s="89"/>
      <c r="AC11" s="95">
        <v>0</v>
      </c>
      <c r="AD11" s="32"/>
      <c r="AE11" s="81">
        <f>+AC11+AD11</f>
        <v>0</v>
      </c>
      <c r="AF11" s="82">
        <v>0</v>
      </c>
      <c r="AG11" s="81">
        <f>+AE11+AF11</f>
        <v>0</v>
      </c>
      <c r="AH11" s="81"/>
      <c r="AI11" s="32"/>
      <c r="AJ11" s="82"/>
      <c r="AK11" s="81">
        <f>+AI11+AJ11</f>
        <v>0</v>
      </c>
      <c r="AY11" s="59"/>
      <c r="AZ11" s="59"/>
    </row>
    <row r="12" spans="1:83" s="50" customFormat="1" ht="15">
      <c r="A12" s="101" t="s">
        <v>74</v>
      </c>
      <c r="B12" s="16" t="s">
        <v>44</v>
      </c>
      <c r="C12" s="27">
        <v>294600</v>
      </c>
      <c r="D12" s="26">
        <v>39.6</v>
      </c>
      <c r="E12" s="21">
        <f>+D12/D11-1</f>
        <v>3.937007874015741E-2</v>
      </c>
      <c r="F12" s="87">
        <f>+$D$61/D12</f>
        <v>5.6944444444444446</v>
      </c>
      <c r="G12" s="98"/>
      <c r="H12" s="94"/>
      <c r="I12" s="94">
        <v>0.1</v>
      </c>
      <c r="J12" s="59">
        <v>5.6</v>
      </c>
      <c r="K12" s="94"/>
      <c r="L12" s="94"/>
      <c r="M12" s="94">
        <v>24.7</v>
      </c>
      <c r="N12" s="94">
        <v>4.0999999999999996</v>
      </c>
      <c r="O12" s="94"/>
      <c r="P12" s="91">
        <f>SUM(H12:O12)</f>
        <v>34.5</v>
      </c>
      <c r="Q12" s="59">
        <f>$Q11+P12</f>
        <v>232</v>
      </c>
      <c r="R12" s="59">
        <v>77.900000000000006</v>
      </c>
      <c r="S12" s="59"/>
      <c r="T12" s="20">
        <f>+P12+R12</f>
        <v>112.4</v>
      </c>
      <c r="U12" s="97">
        <f>P12/T12</f>
        <v>0.30693950177935941</v>
      </c>
      <c r="V12" s="18"/>
      <c r="W12" s="18"/>
      <c r="X12" s="59"/>
      <c r="Y12" s="59"/>
      <c r="Z12" s="97"/>
      <c r="AA12" s="97"/>
      <c r="AB12" s="89"/>
      <c r="AC12" s="95">
        <v>0</v>
      </c>
      <c r="AD12" s="32"/>
      <c r="AE12" s="81">
        <f>+AC12+AD12</f>
        <v>0</v>
      </c>
      <c r="AF12" s="82">
        <v>0</v>
      </c>
      <c r="AG12" s="81">
        <f>+AE12+AF12</f>
        <v>0</v>
      </c>
      <c r="AH12" s="81"/>
      <c r="AI12" s="32"/>
      <c r="AJ12" s="82"/>
      <c r="AK12" s="81">
        <f>+AI12+AJ12</f>
        <v>0</v>
      </c>
      <c r="AY12" s="59"/>
      <c r="AZ12" s="59"/>
    </row>
    <row r="13" spans="1:83" s="50" customFormat="1" ht="15">
      <c r="A13" s="101" t="s">
        <v>73</v>
      </c>
      <c r="B13" s="16" t="s">
        <v>44</v>
      </c>
      <c r="C13" s="27">
        <v>308500</v>
      </c>
      <c r="D13" s="26">
        <v>41.1</v>
      </c>
      <c r="E13" s="21">
        <f>+D13/D12-1</f>
        <v>3.7878787878787845E-2</v>
      </c>
      <c r="F13" s="87">
        <f>+$D$61/D13</f>
        <v>5.4866180048661795</v>
      </c>
      <c r="G13" s="98"/>
      <c r="H13" s="94"/>
      <c r="I13" s="94">
        <v>0.4</v>
      </c>
      <c r="J13" s="59">
        <v>7.9</v>
      </c>
      <c r="K13" s="94"/>
      <c r="L13" s="94"/>
      <c r="M13" s="94">
        <v>27.5</v>
      </c>
      <c r="N13" s="94">
        <v>903.1</v>
      </c>
      <c r="O13" s="94"/>
      <c r="P13" s="91">
        <f>SUM(H13:O13)</f>
        <v>938.9</v>
      </c>
      <c r="Q13" s="59">
        <f>$Q12+P13</f>
        <v>1170.9000000000001</v>
      </c>
      <c r="R13" s="59">
        <v>128.4</v>
      </c>
      <c r="S13" s="59"/>
      <c r="T13" s="20">
        <f>+P13+R13</f>
        <v>1067.3</v>
      </c>
      <c r="U13" s="97">
        <f>P13/T13</f>
        <v>0.87969643024454236</v>
      </c>
      <c r="V13" s="18"/>
      <c r="W13" s="18"/>
      <c r="X13" s="59"/>
      <c r="Y13" s="59"/>
      <c r="Z13" s="97"/>
      <c r="AA13" s="97"/>
      <c r="AB13" s="89"/>
      <c r="AC13" s="95">
        <v>0</v>
      </c>
      <c r="AD13" s="32"/>
      <c r="AE13" s="81">
        <f>+AC13+AD13</f>
        <v>0</v>
      </c>
      <c r="AF13" s="82">
        <v>0</v>
      </c>
      <c r="AG13" s="81">
        <f>+AE13+AF13</f>
        <v>0</v>
      </c>
      <c r="AH13" s="81"/>
      <c r="AI13" s="32"/>
      <c r="AJ13" s="82"/>
      <c r="AK13" s="81">
        <f>+AI13+AJ13</f>
        <v>0</v>
      </c>
      <c r="AY13" s="59"/>
      <c r="AZ13" s="59"/>
    </row>
    <row r="14" spans="1:83" s="50" customFormat="1" ht="15">
      <c r="A14" s="101" t="s">
        <v>72</v>
      </c>
      <c r="B14" s="50" t="s">
        <v>68</v>
      </c>
      <c r="C14" s="27">
        <v>319600</v>
      </c>
      <c r="D14" s="26">
        <v>42.3</v>
      </c>
      <c r="E14" s="21">
        <f>+D14/D13-1</f>
        <v>2.9197080291970767E-2</v>
      </c>
      <c r="F14" s="87">
        <f>+$D$61/D14</f>
        <v>5.3309692671394799</v>
      </c>
      <c r="G14" s="98"/>
      <c r="H14" s="94"/>
      <c r="I14" s="94">
        <v>0.9</v>
      </c>
      <c r="J14" s="59">
        <v>10.5</v>
      </c>
      <c r="K14" s="94"/>
      <c r="L14" s="94"/>
      <c r="M14" s="94">
        <v>32.5</v>
      </c>
      <c r="N14" s="94">
        <v>3.1</v>
      </c>
      <c r="O14" s="94"/>
      <c r="P14" s="91">
        <f>SUM(H14:O14)</f>
        <v>47</v>
      </c>
      <c r="Q14" s="59">
        <f>$Q13+P14</f>
        <v>1217.9000000000001</v>
      </c>
      <c r="R14" s="59">
        <v>173.4</v>
      </c>
      <c r="S14" s="59"/>
      <c r="T14" s="20">
        <f>+P14+R14</f>
        <v>220.4</v>
      </c>
      <c r="U14" s="97">
        <f>P14/T14</f>
        <v>0.2132486388384755</v>
      </c>
      <c r="V14" s="18"/>
      <c r="W14" s="18"/>
      <c r="X14" s="59"/>
      <c r="Y14" s="59"/>
      <c r="Z14" s="97"/>
      <c r="AA14" s="97"/>
      <c r="AB14" s="89"/>
      <c r="AC14" s="95">
        <v>0</v>
      </c>
      <c r="AD14" s="32"/>
      <c r="AE14" s="81">
        <f>+AC14+AD14</f>
        <v>0</v>
      </c>
      <c r="AF14" s="82">
        <v>0</v>
      </c>
      <c r="AG14" s="81">
        <f>+AE14+AF14</f>
        <v>0</v>
      </c>
      <c r="AH14" s="81"/>
      <c r="AI14" s="32"/>
      <c r="AJ14" s="82"/>
      <c r="AK14" s="81">
        <f>+AI14+AJ14</f>
        <v>0</v>
      </c>
      <c r="AY14" s="59"/>
      <c r="AZ14" s="59"/>
    </row>
    <row r="15" spans="1:83" s="50" customFormat="1" ht="15">
      <c r="A15" s="101" t="s">
        <v>71</v>
      </c>
      <c r="B15" s="50" t="s">
        <v>68</v>
      </c>
      <c r="C15" s="27">
        <v>329800</v>
      </c>
      <c r="D15" s="26">
        <v>43.4</v>
      </c>
      <c r="E15" s="21">
        <f>+D15/D14-1</f>
        <v>2.6004728132387633E-2</v>
      </c>
      <c r="F15" s="87">
        <f>+$D$61/D15</f>
        <v>5.1958525345622117</v>
      </c>
      <c r="G15" s="98"/>
      <c r="H15" s="94"/>
      <c r="I15" s="94">
        <v>1.2</v>
      </c>
      <c r="J15" s="59">
        <v>11.4</v>
      </c>
      <c r="K15" s="94"/>
      <c r="L15" s="94"/>
      <c r="M15" s="94">
        <v>32.5</v>
      </c>
      <c r="N15" s="94">
        <v>3.3</v>
      </c>
      <c r="O15" s="94"/>
      <c r="P15" s="91">
        <f>SUM(H15:O15)</f>
        <v>48.4</v>
      </c>
      <c r="Q15" s="59">
        <f>$Q14+P15</f>
        <v>1266.3000000000002</v>
      </c>
      <c r="R15" s="59">
        <v>170.8</v>
      </c>
      <c r="S15" s="59"/>
      <c r="T15" s="20">
        <f>+P15+R15</f>
        <v>219.20000000000002</v>
      </c>
      <c r="U15" s="97">
        <f>P15/T15</f>
        <v>0.22080291970802918</v>
      </c>
      <c r="V15" s="18"/>
      <c r="W15" s="18"/>
      <c r="X15" s="59"/>
      <c r="Y15" s="59"/>
      <c r="Z15" s="97"/>
      <c r="AA15" s="97"/>
      <c r="AB15" s="89"/>
      <c r="AC15" s="95">
        <v>0</v>
      </c>
      <c r="AD15" s="32"/>
      <c r="AE15" s="81">
        <f>+AC15+AD15</f>
        <v>0</v>
      </c>
      <c r="AF15" s="82">
        <v>0</v>
      </c>
      <c r="AG15" s="81">
        <f>+AE15+AF15</f>
        <v>0</v>
      </c>
      <c r="AH15" s="81"/>
      <c r="AI15" s="32"/>
      <c r="AJ15" s="82"/>
      <c r="AK15" s="81">
        <f>+AI15+AJ15</f>
        <v>0</v>
      </c>
      <c r="AY15" s="59"/>
      <c r="AZ15" s="59"/>
    </row>
    <row r="16" spans="1:83" s="50" customFormat="1" ht="15">
      <c r="A16" s="101" t="s">
        <v>70</v>
      </c>
      <c r="B16" s="50" t="s">
        <v>68</v>
      </c>
      <c r="C16" s="27">
        <v>336400</v>
      </c>
      <c r="D16" s="26">
        <v>45.3</v>
      </c>
      <c r="E16" s="21">
        <f>+D16/D15-1</f>
        <v>4.3778801843317838E-2</v>
      </c>
      <c r="F16" s="87">
        <f>+$D$61/D16</f>
        <v>4.9779249448123624</v>
      </c>
      <c r="G16" s="98"/>
      <c r="H16" s="94"/>
      <c r="I16" s="94">
        <v>0.9</v>
      </c>
      <c r="J16" s="59">
        <v>12</v>
      </c>
      <c r="K16" s="94"/>
      <c r="L16" s="94"/>
      <c r="M16" s="94">
        <v>30.2</v>
      </c>
      <c r="N16" s="94">
        <v>7.2</v>
      </c>
      <c r="O16" s="94"/>
      <c r="P16" s="91">
        <f>SUM(H16:O16)</f>
        <v>50.300000000000004</v>
      </c>
      <c r="Q16" s="59">
        <f>$Q15+P16</f>
        <v>1316.6000000000001</v>
      </c>
      <c r="R16" s="59">
        <v>157.9</v>
      </c>
      <c r="S16" s="59"/>
      <c r="T16" s="20">
        <f>+P16+R16</f>
        <v>208.20000000000002</v>
      </c>
      <c r="U16" s="97">
        <f>P16/T16</f>
        <v>0.24159462055715658</v>
      </c>
      <c r="V16" s="18"/>
      <c r="W16" s="18"/>
      <c r="X16" s="59"/>
      <c r="Y16" s="59"/>
      <c r="Z16" s="97"/>
      <c r="AA16" s="97"/>
      <c r="AB16" s="89"/>
      <c r="AC16" s="95">
        <v>0</v>
      </c>
      <c r="AD16" s="32"/>
      <c r="AE16" s="81">
        <f>+AC16+AD16</f>
        <v>0</v>
      </c>
      <c r="AF16" s="82">
        <v>0</v>
      </c>
      <c r="AG16" s="81">
        <f>+AE16+AF16</f>
        <v>0</v>
      </c>
      <c r="AH16" s="81"/>
      <c r="AI16" s="32"/>
      <c r="AJ16" s="82"/>
      <c r="AK16" s="81">
        <f>+AI16+AJ16</f>
        <v>0</v>
      </c>
      <c r="AY16" s="59"/>
      <c r="AZ16" s="59"/>
    </row>
    <row r="17" spans="1:56" s="50" customFormat="1" ht="15">
      <c r="A17" s="101" t="s">
        <v>69</v>
      </c>
      <c r="B17" s="50" t="s">
        <v>68</v>
      </c>
      <c r="C17" s="27">
        <v>348100</v>
      </c>
      <c r="D17" s="26">
        <v>50.2</v>
      </c>
      <c r="E17" s="21">
        <f>+D17/D16-1</f>
        <v>0.10816777041942616</v>
      </c>
      <c r="F17" s="87">
        <f>+$D$61/D17</f>
        <v>4.4920318725099602</v>
      </c>
      <c r="G17" s="98"/>
      <c r="H17" s="94"/>
      <c r="I17" s="94">
        <v>1.2</v>
      </c>
      <c r="J17" s="59">
        <v>14.8</v>
      </c>
      <c r="K17" s="94"/>
      <c r="L17" s="94"/>
      <c r="M17" s="94">
        <v>35.799999999999997</v>
      </c>
      <c r="N17" s="94">
        <v>28.4</v>
      </c>
      <c r="O17" s="94"/>
      <c r="P17" s="91">
        <f>SUM(H17:O17)</f>
        <v>80.199999999999989</v>
      </c>
      <c r="Q17" s="59">
        <f>$Q16+P17</f>
        <v>1396.8000000000002</v>
      </c>
      <c r="R17" s="59">
        <v>174.7</v>
      </c>
      <c r="S17" s="59"/>
      <c r="T17" s="20">
        <f>+P17+R17</f>
        <v>254.89999999999998</v>
      </c>
      <c r="U17" s="97">
        <f>P17/T17</f>
        <v>0.31463318948607294</v>
      </c>
      <c r="V17" s="18"/>
      <c r="W17" s="18"/>
      <c r="X17" s="59"/>
      <c r="Y17" s="59"/>
      <c r="Z17" s="97"/>
      <c r="AA17" s="97"/>
      <c r="AB17" s="89"/>
      <c r="AC17" s="95">
        <v>0</v>
      </c>
      <c r="AD17" s="32"/>
      <c r="AE17" s="81">
        <f>+AC17+AD17</f>
        <v>0</v>
      </c>
      <c r="AF17" s="82">
        <v>0</v>
      </c>
      <c r="AG17" s="81">
        <f>+AE17+AF17</f>
        <v>0</v>
      </c>
      <c r="AH17" s="81"/>
      <c r="AI17" s="32"/>
      <c r="AJ17" s="82"/>
      <c r="AK17" s="81">
        <f>+AI17+AJ17</f>
        <v>0</v>
      </c>
      <c r="AY17" s="59"/>
      <c r="AZ17" s="59"/>
    </row>
    <row r="18" spans="1:56" s="50" customFormat="1" ht="15">
      <c r="A18" s="101" t="s">
        <v>67</v>
      </c>
      <c r="B18" s="50" t="s">
        <v>59</v>
      </c>
      <c r="C18" s="27">
        <v>384100</v>
      </c>
      <c r="D18" s="26">
        <v>57.1</v>
      </c>
      <c r="E18" s="21">
        <f>+D18/D17-1</f>
        <v>0.13745019920318713</v>
      </c>
      <c r="F18" s="87">
        <f>+$D$61/D18</f>
        <v>3.9492119089316988</v>
      </c>
      <c r="G18" s="98"/>
      <c r="H18" s="94">
        <v>6.6</v>
      </c>
      <c r="I18" s="94">
        <v>2.5</v>
      </c>
      <c r="J18" s="59">
        <v>26.6</v>
      </c>
      <c r="K18" s="94"/>
      <c r="L18" s="94"/>
      <c r="M18" s="94">
        <v>49.8</v>
      </c>
      <c r="N18" s="94">
        <v>4.9000000000000004</v>
      </c>
      <c r="O18" s="94"/>
      <c r="P18" s="91">
        <f>SUM(H18:O18)</f>
        <v>90.4</v>
      </c>
      <c r="Q18" s="59">
        <f>$Q17+P18</f>
        <v>1487.2000000000003</v>
      </c>
      <c r="R18" s="59">
        <v>243</v>
      </c>
      <c r="S18" s="59"/>
      <c r="T18" s="20">
        <f>+P18+R18</f>
        <v>333.4</v>
      </c>
      <c r="U18" s="97">
        <f>P18/T18</f>
        <v>0.27114577084583086</v>
      </c>
      <c r="V18" s="18"/>
      <c r="W18" s="18"/>
      <c r="X18" s="59"/>
      <c r="Y18" s="59"/>
      <c r="Z18" s="97"/>
      <c r="AA18" s="97"/>
      <c r="AB18" s="89"/>
      <c r="AC18" s="95">
        <v>472.54686900000002</v>
      </c>
      <c r="AD18" s="82"/>
      <c r="AE18" s="81">
        <f>+AC18+AD18</f>
        <v>472.54686900000002</v>
      </c>
      <c r="AF18" s="82">
        <v>23.257359999999998</v>
      </c>
      <c r="AG18" s="81">
        <f>+AE18+AF18</f>
        <v>495.80422900000002</v>
      </c>
      <c r="AH18" s="81"/>
      <c r="AI18" s="82"/>
      <c r="AJ18" s="82"/>
      <c r="AK18" s="81">
        <f>+AI18+AJ18</f>
        <v>0</v>
      </c>
      <c r="AM18" s="59">
        <f>+AC18*F18</f>
        <v>1866.1877225831875</v>
      </c>
      <c r="AN18" s="59">
        <f>+AD18*F18</f>
        <v>0</v>
      </c>
      <c r="AO18" s="59">
        <f>+AF18*F18</f>
        <v>91.848243082311726</v>
      </c>
      <c r="AP18" s="59">
        <f>+T18*F18</f>
        <v>1316.6672504378282</v>
      </c>
      <c r="AS18" s="57">
        <f>+AC18/(C18/1000000)</f>
        <v>1230.2704217651653</v>
      </c>
      <c r="AT18" s="57">
        <f>+AD18/(C18/1000000)</f>
        <v>0</v>
      </c>
      <c r="AU18" s="57">
        <f>+AF18/(C18/1000000)</f>
        <v>60.550273366310854</v>
      </c>
      <c r="AV18" s="57">
        <f>+T18/(C18/1000000)</f>
        <v>868.00312418640976</v>
      </c>
      <c r="AW18" s="57"/>
      <c r="AY18" s="59">
        <f>+AM18/(C18/1000000)</f>
        <v>4858.5986008414147</v>
      </c>
      <c r="AZ18" s="59">
        <f>+AN18/(C18/1000000)</f>
        <v>0</v>
      </c>
      <c r="BA18" s="59">
        <f>+AO18/(C18/1000000)</f>
        <v>239.12586066730466</v>
      </c>
      <c r="BB18" s="59">
        <f>+AP18/(C18/1000000)</f>
        <v>3427.9282750268894</v>
      </c>
      <c r="BC18" s="59">
        <f>+AY18+AZ18+BA18</f>
        <v>5097.7244615087193</v>
      </c>
      <c r="BD18" s="59"/>
    </row>
    <row r="19" spans="1:56" s="50" customFormat="1" ht="15">
      <c r="A19" s="101" t="s">
        <v>66</v>
      </c>
      <c r="B19" s="50" t="s">
        <v>59</v>
      </c>
      <c r="C19" s="27">
        <v>409800</v>
      </c>
      <c r="D19" s="26">
        <v>61.5</v>
      </c>
      <c r="E19" s="21">
        <f>+D19/D18-1</f>
        <v>7.7057793345008729E-2</v>
      </c>
      <c r="F19" s="87">
        <f>+$D$61/D19</f>
        <v>3.6666666666666665</v>
      </c>
      <c r="G19" s="98"/>
      <c r="H19" s="94">
        <v>83.4</v>
      </c>
      <c r="I19" s="94">
        <v>4.9000000000000004</v>
      </c>
      <c r="J19" s="59">
        <v>28</v>
      </c>
      <c r="K19" s="94">
        <v>223.1</v>
      </c>
      <c r="L19" s="94"/>
      <c r="M19" s="94">
        <v>48.4</v>
      </c>
      <c r="N19" s="94">
        <v>3.7</v>
      </c>
      <c r="O19" s="94"/>
      <c r="P19" s="91">
        <f>SUM(H19:O19)</f>
        <v>391.49999999999994</v>
      </c>
      <c r="Q19" s="59">
        <f>$Q18+P19</f>
        <v>1878.7000000000003</v>
      </c>
      <c r="R19" s="59">
        <v>318.3</v>
      </c>
      <c r="S19" s="59"/>
      <c r="T19" s="20">
        <f>+P19+R19</f>
        <v>709.8</v>
      </c>
      <c r="U19" s="97">
        <f>P19/T19</f>
        <v>0.55156382079458999</v>
      </c>
      <c r="V19" s="18"/>
      <c r="W19" s="18"/>
      <c r="X19" s="59"/>
      <c r="Y19" s="59"/>
      <c r="Z19" s="97"/>
      <c r="AA19" s="97"/>
      <c r="AB19" s="89"/>
      <c r="AC19" s="95">
        <v>590.10629899999958</v>
      </c>
      <c r="AD19" s="82">
        <v>0</v>
      </c>
      <c r="AE19" s="81">
        <f>+AC19+AD19</f>
        <v>590.10629899999958</v>
      </c>
      <c r="AF19" s="82">
        <v>32.588147999999997</v>
      </c>
      <c r="AG19" s="81">
        <f>+AE19+AF19</f>
        <v>622.69444699999963</v>
      </c>
      <c r="AH19" s="81"/>
      <c r="AI19" s="82">
        <v>0</v>
      </c>
      <c r="AJ19" s="82"/>
      <c r="AK19" s="81">
        <f>+AI19+AJ19</f>
        <v>0</v>
      </c>
      <c r="AM19" s="59">
        <f>+AC19*F19</f>
        <v>2163.7230963333318</v>
      </c>
      <c r="AN19" s="59">
        <f>+AD19*F19</f>
        <v>0</v>
      </c>
      <c r="AO19" s="59">
        <f>+AF19*F19</f>
        <v>119.48987599999998</v>
      </c>
      <c r="AP19" s="59">
        <f>+T19*F19</f>
        <v>2602.6</v>
      </c>
      <c r="AS19" s="57">
        <f>+AC19/(C19/1000000)</f>
        <v>1439.9860883357726</v>
      </c>
      <c r="AT19" s="57">
        <f>+AD19/(C19/1000000)</f>
        <v>0</v>
      </c>
      <c r="AU19" s="57">
        <f>+AF19/(C19/1000000)</f>
        <v>79.52207906295753</v>
      </c>
      <c r="AV19" s="57">
        <f>+T19/(C19/1000000)</f>
        <v>1732.0644216691069</v>
      </c>
      <c r="AW19" s="57"/>
      <c r="AY19" s="59">
        <f>+AM19/(C19/1000000)</f>
        <v>5279.9489905644996</v>
      </c>
      <c r="AZ19" s="59">
        <f>+AN19/(C19/1000000)</f>
        <v>0</v>
      </c>
      <c r="BA19" s="59">
        <f>+AO19/(C19/1000000)</f>
        <v>291.5809565641776</v>
      </c>
      <c r="BB19" s="59">
        <f>+AP19/(C19/1000000)</f>
        <v>6350.9028794533915</v>
      </c>
      <c r="BC19" s="59">
        <f>+AY19+AZ19+BA19</f>
        <v>5571.5299471286771</v>
      </c>
      <c r="BD19" s="59"/>
    </row>
    <row r="20" spans="1:56" s="50" customFormat="1" ht="15">
      <c r="A20" s="101" t="s">
        <v>65</v>
      </c>
      <c r="B20" s="50" t="s">
        <v>59</v>
      </c>
      <c r="C20" s="27">
        <v>418000</v>
      </c>
      <c r="D20" s="26">
        <v>65.599999999999994</v>
      </c>
      <c r="E20" s="21">
        <f>+D20/D19-1</f>
        <v>6.6666666666666652E-2</v>
      </c>
      <c r="F20" s="87">
        <f>+$D$61/D20</f>
        <v>3.4375000000000004</v>
      </c>
      <c r="G20" s="98"/>
      <c r="H20" s="94">
        <v>139.1</v>
      </c>
      <c r="I20" s="94">
        <v>5</v>
      </c>
      <c r="J20" s="59">
        <v>23.8</v>
      </c>
      <c r="K20" s="94">
        <v>270.60000000000002</v>
      </c>
      <c r="L20" s="94"/>
      <c r="M20" s="94">
        <v>36.299999999999997</v>
      </c>
      <c r="N20" s="94">
        <v>2.8</v>
      </c>
      <c r="O20" s="94"/>
      <c r="P20" s="91">
        <f>SUM(H20:O20)</f>
        <v>477.6</v>
      </c>
      <c r="Q20" s="59">
        <f>$Q19+P20</f>
        <v>2356.3000000000002</v>
      </c>
      <c r="R20" s="59">
        <v>396.7</v>
      </c>
      <c r="S20" s="59"/>
      <c r="T20" s="20">
        <f>+P20+R20</f>
        <v>874.3</v>
      </c>
      <c r="U20" s="97">
        <f>P20/T20</f>
        <v>0.54626558389568802</v>
      </c>
      <c r="V20" s="18"/>
      <c r="W20" s="18"/>
      <c r="X20" s="59"/>
      <c r="Y20" s="59"/>
      <c r="Z20" s="97"/>
      <c r="AA20" s="97"/>
      <c r="AB20" s="89"/>
      <c r="AC20" s="95">
        <v>699.01627700000006</v>
      </c>
      <c r="AD20" s="82">
        <v>0</v>
      </c>
      <c r="AE20" s="81">
        <f>+AC20+AD20</f>
        <v>699.01627700000006</v>
      </c>
      <c r="AF20" s="82">
        <v>18.580452999999999</v>
      </c>
      <c r="AG20" s="81">
        <f>+AE20+AF20</f>
        <v>717.59673000000009</v>
      </c>
      <c r="AH20" s="81"/>
      <c r="AI20" s="82">
        <v>2.5</v>
      </c>
      <c r="AJ20" s="82"/>
      <c r="AK20" s="81">
        <f>+AI20+AJ20</f>
        <v>2.5</v>
      </c>
      <c r="AM20" s="59">
        <f>+AC20*F20</f>
        <v>2402.8684521875007</v>
      </c>
      <c r="AN20" s="59">
        <f>+AD20*F20</f>
        <v>0</v>
      </c>
      <c r="AO20" s="59">
        <f>+AF20*F20</f>
        <v>63.870307187500003</v>
      </c>
      <c r="AP20" s="59">
        <f>+T20*F20</f>
        <v>3005.4062500000005</v>
      </c>
      <c r="AS20" s="57">
        <f>+AC20/(C20/1000000)</f>
        <v>1672.2877440191389</v>
      </c>
      <c r="AT20" s="57">
        <f>+AD20/(C20/1000000)</f>
        <v>0</v>
      </c>
      <c r="AU20" s="57">
        <f>+AF20/(C20/1000000)</f>
        <v>44.450844497607655</v>
      </c>
      <c r="AV20" s="57">
        <f>+T20/(C20/1000000)</f>
        <v>2091.6267942583731</v>
      </c>
      <c r="AW20" s="57"/>
      <c r="AY20" s="59">
        <f>+AM20/(C20/1000000)</f>
        <v>5748.4891200657912</v>
      </c>
      <c r="AZ20" s="59">
        <f>+AN20/(C20/1000000)</f>
        <v>0</v>
      </c>
      <c r="BA20" s="59">
        <f>+AO20/(C20/1000000)</f>
        <v>152.79977796052634</v>
      </c>
      <c r="BB20" s="59">
        <f>+AP20/(C20/1000000)</f>
        <v>7189.9671052631593</v>
      </c>
      <c r="BC20" s="59">
        <f>+AY20+AZ20+BA20</f>
        <v>5901.2888980263178</v>
      </c>
      <c r="BD20" s="59"/>
    </row>
    <row r="21" spans="1:56" s="50" customFormat="1" ht="15">
      <c r="A21" s="101" t="s">
        <v>64</v>
      </c>
      <c r="B21" s="16" t="s">
        <v>59</v>
      </c>
      <c r="C21" s="27">
        <v>411600</v>
      </c>
      <c r="D21" s="26">
        <v>70.2</v>
      </c>
      <c r="E21" s="21">
        <f>+D21/D20-1</f>
        <v>7.0121951219512368E-2</v>
      </c>
      <c r="F21" s="87">
        <f>+$D$61/D21</f>
        <v>3.2122507122507122</v>
      </c>
      <c r="G21" s="98"/>
      <c r="H21" s="94">
        <v>173</v>
      </c>
      <c r="I21" s="94">
        <v>8.4</v>
      </c>
      <c r="J21" s="59">
        <v>107.7</v>
      </c>
      <c r="K21" s="94"/>
      <c r="L21" s="94"/>
      <c r="M21" s="94">
        <v>150.6</v>
      </c>
      <c r="N21" s="94">
        <v>1.8</v>
      </c>
      <c r="O21" s="94"/>
      <c r="P21" s="91">
        <f>SUM(H21:O21)</f>
        <v>441.50000000000006</v>
      </c>
      <c r="Q21" s="59">
        <f>$Q20+P21</f>
        <v>2797.8</v>
      </c>
      <c r="R21" s="59">
        <v>323.39999999999998</v>
      </c>
      <c r="S21" s="59"/>
      <c r="T21" s="20">
        <f>+P21+R21</f>
        <v>764.90000000000009</v>
      </c>
      <c r="U21" s="97">
        <f>P21/T21</f>
        <v>0.57719963393907703</v>
      </c>
      <c r="V21" s="18"/>
      <c r="W21" s="18"/>
      <c r="X21" s="59"/>
      <c r="Y21" s="59"/>
      <c r="Z21" s="97"/>
      <c r="AA21" s="97"/>
      <c r="AB21" s="89"/>
      <c r="AC21" s="95">
        <v>812.43148899999994</v>
      </c>
      <c r="AD21" s="82">
        <v>0</v>
      </c>
      <c r="AE21" s="81">
        <f>+AC21+AD21</f>
        <v>812.43148899999994</v>
      </c>
      <c r="AF21" s="82">
        <v>29.751000000000001</v>
      </c>
      <c r="AG21" s="81">
        <f>+AE21+AF21</f>
        <v>842.18248899999992</v>
      </c>
      <c r="AH21" s="81"/>
      <c r="AI21" s="82">
        <v>0</v>
      </c>
      <c r="AJ21" s="82"/>
      <c r="AK21" s="81">
        <f>+AI21+AJ21</f>
        <v>0</v>
      </c>
      <c r="AM21" s="59">
        <f>+AC21*F21</f>
        <v>2609.7336291951565</v>
      </c>
      <c r="AN21" s="59">
        <f>+AD21*F21</f>
        <v>0</v>
      </c>
      <c r="AO21" s="59">
        <f>+AF21*F21</f>
        <v>95.567670940170942</v>
      </c>
      <c r="AP21" s="59">
        <f>+T21*F21</f>
        <v>2457.05056980057</v>
      </c>
      <c r="AS21" s="57">
        <f>+AC21/(C21/1000000)</f>
        <v>1973.8374368318753</v>
      </c>
      <c r="AT21" s="57">
        <f>+AD21/(C21/1000000)</f>
        <v>0</v>
      </c>
      <c r="AU21" s="57">
        <f>+AF21/(C21/1000000)</f>
        <v>72.281341107871725</v>
      </c>
      <c r="AV21" s="57">
        <f>+T21/(C21/1000000)</f>
        <v>1858.3576287657922</v>
      </c>
      <c r="AW21" s="57"/>
      <c r="AY21" s="59">
        <f>+AM21/(C21/1000000)</f>
        <v>6340.4607123303122</v>
      </c>
      <c r="AZ21" s="59">
        <f>+AN21/(C21/1000000)</f>
        <v>0</v>
      </c>
      <c r="BA21" s="59">
        <f>+AO21/(C21/1000000)</f>
        <v>232.18578945619763</v>
      </c>
      <c r="BB21" s="59">
        <f>+AP21/(C21/1000000)</f>
        <v>5969.5106166194601</v>
      </c>
      <c r="BC21" s="59">
        <f>+AY21+AZ21+BA21</f>
        <v>6572.6465017865094</v>
      </c>
      <c r="BD21" s="59"/>
    </row>
    <row r="22" spans="1:56" s="50" customFormat="1" ht="15">
      <c r="A22" s="101" t="s">
        <v>63</v>
      </c>
      <c r="B22" s="16" t="s">
        <v>59</v>
      </c>
      <c r="C22" s="27">
        <v>413700</v>
      </c>
      <c r="D22" s="26">
        <v>77.599999999999994</v>
      </c>
      <c r="E22" s="21">
        <f>+D22/D21-1</f>
        <v>0.10541310541310533</v>
      </c>
      <c r="F22" s="87">
        <f>+$D$61/D22</f>
        <v>2.9059278350515467</v>
      </c>
      <c r="G22" s="98"/>
      <c r="H22" s="94">
        <v>163.4</v>
      </c>
      <c r="I22" s="94">
        <v>232.6</v>
      </c>
      <c r="J22" s="59">
        <v>173.8</v>
      </c>
      <c r="K22" s="94"/>
      <c r="L22" s="94"/>
      <c r="M22" s="94">
        <v>250.2</v>
      </c>
      <c r="N22" s="94">
        <v>1.6</v>
      </c>
      <c r="O22" s="94"/>
      <c r="P22" s="91">
        <f>SUM(H22:O22)</f>
        <v>821.6</v>
      </c>
      <c r="Q22" s="59">
        <f>$Q21+P22</f>
        <v>3619.4</v>
      </c>
      <c r="R22" s="59">
        <v>311.39999999999998</v>
      </c>
      <c r="S22" s="59"/>
      <c r="T22" s="20">
        <f>+P22+R22</f>
        <v>1133</v>
      </c>
      <c r="U22" s="97">
        <f>P22/T22</f>
        <v>0.72515445719329219</v>
      </c>
      <c r="V22" s="18"/>
      <c r="W22" s="18"/>
      <c r="X22" s="59"/>
      <c r="Y22" s="59"/>
      <c r="Z22" s="97"/>
      <c r="AA22" s="97"/>
      <c r="AB22" s="89"/>
      <c r="AC22" s="95">
        <v>933.04989000000023</v>
      </c>
      <c r="AD22" s="82">
        <v>0</v>
      </c>
      <c r="AE22" s="81">
        <f>+AC22+AD22</f>
        <v>933.04989000000023</v>
      </c>
      <c r="AF22" s="82">
        <v>146.35582299999999</v>
      </c>
      <c r="AG22" s="81">
        <f>+AE22+AF22</f>
        <v>1079.4057130000001</v>
      </c>
      <c r="AH22" s="81"/>
      <c r="AI22" s="82">
        <v>7.5</v>
      </c>
      <c r="AJ22" s="82"/>
      <c r="AK22" s="81">
        <f>+AI22+AJ22</f>
        <v>7.5</v>
      </c>
      <c r="AM22" s="59">
        <f>+AC22*F22</f>
        <v>2711.3756468427846</v>
      </c>
      <c r="AN22" s="59">
        <f>+AD22*F22</f>
        <v>0</v>
      </c>
      <c r="AO22" s="59">
        <f>+AF22*F22</f>
        <v>425.29945987757731</v>
      </c>
      <c r="AP22" s="59">
        <f>+T22*F22</f>
        <v>3292.4162371134025</v>
      </c>
      <c r="AS22" s="57">
        <f>+AC22/(C22/1000000)</f>
        <v>2255.3780275562008</v>
      </c>
      <c r="AT22" s="57">
        <f>+AD22/(C22/1000000)</f>
        <v>0</v>
      </c>
      <c r="AU22" s="57">
        <f>+AF22/(C22/1000000)</f>
        <v>353.7728378051728</v>
      </c>
      <c r="AV22" s="57">
        <f>+T22/(C22/1000000)</f>
        <v>2738.6995407299974</v>
      </c>
      <c r="AW22" s="57"/>
      <c r="AY22" s="59">
        <f>+AM22/(C22/1000000)</f>
        <v>6553.9657888392185</v>
      </c>
      <c r="AZ22" s="59">
        <f>+AN22/(C22/1000000)</f>
        <v>0</v>
      </c>
      <c r="BA22" s="59">
        <f>+AO22/(C22/1000000)</f>
        <v>1028.0383366632277</v>
      </c>
      <c r="BB22" s="59">
        <f>+AP22/(C22/1000000)</f>
        <v>7958.4632272501876</v>
      </c>
      <c r="BC22" s="59">
        <f>+AY22+AZ22+BA22</f>
        <v>7582.0041255024462</v>
      </c>
      <c r="BD22" s="59"/>
    </row>
    <row r="23" spans="1:56" s="50" customFormat="1" ht="15">
      <c r="A23" s="101" t="s">
        <v>62</v>
      </c>
      <c r="B23" s="16" t="s">
        <v>59</v>
      </c>
      <c r="C23" s="27">
        <v>419800</v>
      </c>
      <c r="D23" s="26">
        <v>85.5</v>
      </c>
      <c r="E23" s="21">
        <f>+D23/D22-1</f>
        <v>0.10180412371134029</v>
      </c>
      <c r="F23" s="87">
        <f>+$D$61/D23</f>
        <v>2.6374269005847952</v>
      </c>
      <c r="G23" s="98"/>
      <c r="H23" s="94">
        <v>168.9</v>
      </c>
      <c r="I23" s="94">
        <v>547.5</v>
      </c>
      <c r="J23" s="59">
        <v>506.5</v>
      </c>
      <c r="K23" s="94"/>
      <c r="L23" s="94"/>
      <c r="M23" s="94">
        <v>689.4</v>
      </c>
      <c r="N23" s="94">
        <v>344.2</v>
      </c>
      <c r="O23" s="94"/>
      <c r="P23" s="91">
        <f>SUM(H23:O23)</f>
        <v>2256.5</v>
      </c>
      <c r="Q23" s="59">
        <f>$Q22+P23</f>
        <v>5875.9</v>
      </c>
      <c r="R23" s="59">
        <v>244.7</v>
      </c>
      <c r="S23" s="59"/>
      <c r="T23" s="20">
        <f>+P23+R23</f>
        <v>2501.1999999999998</v>
      </c>
      <c r="U23" s="97">
        <f>P23/T23</f>
        <v>0.90216695985926765</v>
      </c>
      <c r="V23" s="18"/>
      <c r="W23" s="18"/>
      <c r="X23" s="59"/>
      <c r="Y23" s="59"/>
      <c r="Z23" s="97"/>
      <c r="AA23" s="97"/>
      <c r="AB23" s="89"/>
      <c r="AC23" s="95">
        <v>1117.6613000000002</v>
      </c>
      <c r="AD23" s="82">
        <v>0</v>
      </c>
      <c r="AE23" s="81">
        <f>+AC23+AD23</f>
        <v>1117.6613000000002</v>
      </c>
      <c r="AF23" s="82">
        <v>623.4221</v>
      </c>
      <c r="AG23" s="81">
        <f>+AE23+AF23</f>
        <v>1741.0834000000002</v>
      </c>
      <c r="AH23" s="81"/>
      <c r="AI23" s="82">
        <v>0</v>
      </c>
      <c r="AJ23" s="82"/>
      <c r="AK23" s="81">
        <f>+AI23+AJ23</f>
        <v>0</v>
      </c>
      <c r="AM23" s="59">
        <f>+AC23*F23</f>
        <v>2947.7499783625735</v>
      </c>
      <c r="AN23" s="59">
        <f>+AD23*F23</f>
        <v>0</v>
      </c>
      <c r="AO23" s="59">
        <f>+AF23*F23</f>
        <v>1644.2302169590644</v>
      </c>
      <c r="AP23" s="59">
        <f>+T23*F23</f>
        <v>6596.7321637426894</v>
      </c>
      <c r="AS23" s="57">
        <f>+AC23/(C23/1000000)</f>
        <v>2662.3661267270131</v>
      </c>
      <c r="AT23" s="57">
        <f>+AD23/(C23/1000000)</f>
        <v>0</v>
      </c>
      <c r="AU23" s="57">
        <f>+AF23/(C23/1000000)</f>
        <v>1485.045497856122</v>
      </c>
      <c r="AV23" s="57">
        <f>+T23/(C23/1000000)</f>
        <v>5958.0752739399713</v>
      </c>
      <c r="AW23" s="57"/>
      <c r="AY23" s="59">
        <f>+AM23/(C23/1000000)</f>
        <v>7021.7960418355733</v>
      </c>
      <c r="AZ23" s="59">
        <f>+AN23/(C23/1000000)</f>
        <v>0</v>
      </c>
      <c r="BA23" s="59">
        <f>+AO23/(C23/1000000)</f>
        <v>3916.6989446380762</v>
      </c>
      <c r="BB23" s="59">
        <f>+AP23/(C23/1000000)</f>
        <v>15713.988003198403</v>
      </c>
      <c r="BC23" s="59">
        <f>+AY23+AZ23+BA23</f>
        <v>10938.49498647365</v>
      </c>
      <c r="BD23" s="59"/>
    </row>
    <row r="24" spans="1:56" s="50" customFormat="1" ht="15">
      <c r="A24" s="101" t="s">
        <v>61</v>
      </c>
      <c r="B24" s="16" t="s">
        <v>59</v>
      </c>
      <c r="C24" s="27">
        <v>434300</v>
      </c>
      <c r="D24" s="26">
        <v>92.4</v>
      </c>
      <c r="E24" s="21">
        <f>+D24/D23-1</f>
        <v>8.0701754385964941E-2</v>
      </c>
      <c r="F24" s="87">
        <f>+$D$61/D24</f>
        <v>2.4404761904761902</v>
      </c>
      <c r="G24" s="98"/>
      <c r="H24" s="94">
        <v>143</v>
      </c>
      <c r="I24" s="94">
        <v>860.1</v>
      </c>
      <c r="J24" s="59">
        <v>1170.2</v>
      </c>
      <c r="K24" s="94"/>
      <c r="L24" s="94"/>
      <c r="M24" s="94">
        <v>1119.7</v>
      </c>
      <c r="N24" s="94">
        <v>11.3</v>
      </c>
      <c r="O24" s="94"/>
      <c r="P24" s="91">
        <f>SUM(H24:O24)</f>
        <v>3304.3</v>
      </c>
      <c r="Q24" s="59">
        <f>$Q23+P24</f>
        <v>9180.2000000000007</v>
      </c>
      <c r="R24" s="59">
        <v>413.7</v>
      </c>
      <c r="S24" s="59"/>
      <c r="T24" s="20">
        <f>+P24+R24</f>
        <v>3718</v>
      </c>
      <c r="U24" s="97">
        <f>P24/T24</f>
        <v>0.88873050026896183</v>
      </c>
      <c r="V24" s="18"/>
      <c r="W24" s="18"/>
      <c r="X24" s="59"/>
      <c r="Y24" s="59"/>
      <c r="Z24" s="97"/>
      <c r="AA24" s="97"/>
      <c r="AB24" s="89"/>
      <c r="AC24" s="95">
        <v>1578.3376999999998</v>
      </c>
      <c r="AD24" s="82">
        <v>64.3</v>
      </c>
      <c r="AE24" s="81">
        <f>+AC24+AD24</f>
        <v>1642.6376999999998</v>
      </c>
      <c r="AF24" s="82">
        <v>435.55533099999997</v>
      </c>
      <c r="AG24" s="81">
        <f>+AE24+AF24</f>
        <v>2078.1930309999998</v>
      </c>
      <c r="AH24" s="81"/>
      <c r="AI24" s="82">
        <f>696.335+6.8+900+87.2714+350</f>
        <v>2040.4064000000001</v>
      </c>
      <c r="AJ24" s="82"/>
      <c r="AK24" s="81">
        <f>+AI24+AJ24</f>
        <v>2040.4064000000001</v>
      </c>
      <c r="AM24" s="59">
        <f>+AC24*F24</f>
        <v>3851.8955773809516</v>
      </c>
      <c r="AN24" s="59">
        <f>+AD24*F24</f>
        <v>156.92261904761904</v>
      </c>
      <c r="AO24" s="59">
        <f>+AF24*F24</f>
        <v>1062.962414940476</v>
      </c>
      <c r="AP24" s="59">
        <f>+T24*F24</f>
        <v>9073.6904761904752</v>
      </c>
      <c r="AS24" s="57">
        <f>+AC24/(C24/1000000)</f>
        <v>3634.210683859083</v>
      </c>
      <c r="AT24" s="57">
        <f>+AD24/(C24/1000000)</f>
        <v>148.05434031775269</v>
      </c>
      <c r="AU24" s="57">
        <f>+AF24/(C24/1000000)</f>
        <v>1002.8904697213907</v>
      </c>
      <c r="AV24" s="57">
        <f>+T24/(C24/1000000)</f>
        <v>8560.9026018880959</v>
      </c>
      <c r="AW24" s="57"/>
      <c r="AY24" s="59">
        <f>+AM24/(C24/1000000)</f>
        <v>8869.2046451322858</v>
      </c>
      <c r="AZ24" s="59">
        <f>+AN24/(C24/1000000)</f>
        <v>361.32309244213457</v>
      </c>
      <c r="BA24" s="59">
        <f>+AO24/(C24/1000000)</f>
        <v>2447.5303130105362</v>
      </c>
      <c r="BB24" s="59">
        <f>+AP24/(C24/1000000)</f>
        <v>20892.678968893564</v>
      </c>
      <c r="BC24" s="59">
        <f>+AY24+AZ24+BA24</f>
        <v>11678.058050584958</v>
      </c>
      <c r="BD24" s="59"/>
    </row>
    <row r="25" spans="1:56" s="50" customFormat="1" ht="15">
      <c r="A25" s="101" t="s">
        <v>60</v>
      </c>
      <c r="B25" s="16" t="s">
        <v>59</v>
      </c>
      <c r="C25" s="27">
        <v>464300</v>
      </c>
      <c r="D25" s="26">
        <v>97.4</v>
      </c>
      <c r="E25" s="21">
        <f>+D25/D24-1</f>
        <v>5.4112554112554001E-2</v>
      </c>
      <c r="F25" s="87">
        <f>+$D$61/D25</f>
        <v>2.3151950718685832</v>
      </c>
      <c r="G25" s="92">
        <f>33.42-2.5</f>
        <v>30.92</v>
      </c>
      <c r="H25" s="94">
        <v>142.69999999999999</v>
      </c>
      <c r="I25" s="94">
        <v>668.9</v>
      </c>
      <c r="J25" s="59">
        <v>1581.7</v>
      </c>
      <c r="K25" s="94"/>
      <c r="L25" s="94"/>
      <c r="M25" s="94">
        <v>1174.4000000000001</v>
      </c>
      <c r="N25" s="94">
        <v>7.1</v>
      </c>
      <c r="O25" s="94"/>
      <c r="P25" s="91">
        <f>SUM(H25:O25)</f>
        <v>3574.8</v>
      </c>
      <c r="Q25" s="59">
        <f>$Q24+P25</f>
        <v>12755</v>
      </c>
      <c r="R25" s="59">
        <v>533.6</v>
      </c>
      <c r="S25" s="59"/>
      <c r="T25" s="20">
        <f>+P25+R25</f>
        <v>4108.4000000000005</v>
      </c>
      <c r="U25" s="97">
        <f>P25/T25</f>
        <v>0.8701197546490117</v>
      </c>
      <c r="V25" s="18"/>
      <c r="W25" s="18"/>
      <c r="X25" s="59"/>
      <c r="Y25" s="59"/>
      <c r="Z25" s="97"/>
      <c r="AA25" s="97"/>
      <c r="AB25" s="89"/>
      <c r="AC25" s="95">
        <v>1829.480325</v>
      </c>
      <c r="AD25" s="82">
        <v>314.70440000000002</v>
      </c>
      <c r="AE25" s="81">
        <f>+AC25+AD25</f>
        <v>2144.1847250000001</v>
      </c>
      <c r="AF25" s="82">
        <v>1065.4703999999999</v>
      </c>
      <c r="AG25" s="81">
        <f>+AE25+AF25</f>
        <v>3209.6551250000002</v>
      </c>
      <c r="AH25" s="81"/>
      <c r="AI25" s="83">
        <f>415.8+1800+8.5+12.3514+10+40+150+10+0.689</f>
        <v>2447.3404</v>
      </c>
      <c r="AJ25" s="82"/>
      <c r="AK25" s="81">
        <f>+AI25+AJ25</f>
        <v>2447.3404</v>
      </c>
      <c r="AM25" s="59">
        <f>+AC25*F25</f>
        <v>4235.6038325205336</v>
      </c>
      <c r="AN25" s="59">
        <f>+AD25*F25</f>
        <v>728.60207597535941</v>
      </c>
      <c r="AO25" s="59">
        <f>+AF25*F25</f>
        <v>2466.7718193018477</v>
      </c>
      <c r="AP25" s="59">
        <f>+T25*F25</f>
        <v>9511.747433264889</v>
      </c>
      <c r="AS25" s="57">
        <f>+AC25/(C25/1000000)</f>
        <v>3940.2979216024123</v>
      </c>
      <c r="AT25" s="57">
        <f>+AD25/(C25/1000000)</f>
        <v>677.80400603058376</v>
      </c>
      <c r="AU25" s="57">
        <f>+AF25/(C25/1000000)</f>
        <v>2294.7887141934093</v>
      </c>
      <c r="AV25" s="57">
        <f>+T25/(C25/1000000)</f>
        <v>8848.58927417618</v>
      </c>
      <c r="AW25" s="57"/>
      <c r="AY25" s="59">
        <f>+AM25/(C25/1000000)</f>
        <v>9122.5583297879257</v>
      </c>
      <c r="AZ25" s="59">
        <f>+AN25/(C25/1000000)</f>
        <v>1569.2484944547909</v>
      </c>
      <c r="BA25" s="59">
        <f>+AO25/(C25/1000000)</f>
        <v>5312.8835220802239</v>
      </c>
      <c r="BB25" s="59">
        <f>+AP25/(C25/1000000)</f>
        <v>20486.210280561896</v>
      </c>
      <c r="BC25" s="59">
        <f>+AY25+AZ25+BA25</f>
        <v>16004.690346322939</v>
      </c>
      <c r="BD25" s="59"/>
    </row>
    <row r="26" spans="1:56" s="50" customFormat="1" ht="15">
      <c r="A26" s="101" t="s">
        <v>58</v>
      </c>
      <c r="B26" s="16" t="s">
        <v>54</v>
      </c>
      <c r="C26" s="27">
        <v>499100</v>
      </c>
      <c r="D26" s="26">
        <v>99.2</v>
      </c>
      <c r="E26" s="21">
        <f>+D26/D25-1</f>
        <v>1.848049281314168E-2</v>
      </c>
      <c r="F26" s="87">
        <f>+$D$61/D26</f>
        <v>2.2731854838709675</v>
      </c>
      <c r="G26" s="92">
        <f>32.11-2.5</f>
        <v>29.61</v>
      </c>
      <c r="H26" s="94">
        <v>152.6</v>
      </c>
      <c r="I26" s="94">
        <v>236</v>
      </c>
      <c r="J26" s="59">
        <v>1493.7</v>
      </c>
      <c r="K26" s="94"/>
      <c r="L26" s="94"/>
      <c r="M26" s="94">
        <v>1105.5999999999999</v>
      </c>
      <c r="N26" s="94">
        <v>38.700000000000003</v>
      </c>
      <c r="O26" s="94"/>
      <c r="P26" s="91">
        <f>SUM(H26:O26)</f>
        <v>3026.6</v>
      </c>
      <c r="Q26" s="59">
        <f>$Q25+P26</f>
        <v>15781.6</v>
      </c>
      <c r="R26" s="59">
        <v>604.40000000000055</v>
      </c>
      <c r="S26" s="59"/>
      <c r="T26" s="20">
        <f>+P26+R26</f>
        <v>3631.0000000000005</v>
      </c>
      <c r="U26" s="97">
        <f>P26/T26</f>
        <v>0.83354447810520504</v>
      </c>
      <c r="V26" s="18"/>
      <c r="W26" s="18"/>
      <c r="X26" s="59"/>
      <c r="Y26" s="59"/>
      <c r="Z26" s="97"/>
      <c r="AA26" s="97"/>
      <c r="AB26" s="89"/>
      <c r="AC26" s="95">
        <v>2070.3181170000003</v>
      </c>
      <c r="AD26" s="82">
        <v>0</v>
      </c>
      <c r="AE26" s="81">
        <f>+AC26+AD26</f>
        <v>2070.3181170000003</v>
      </c>
      <c r="AF26" s="82">
        <v>729.21758199999999</v>
      </c>
      <c r="AG26" s="81">
        <f>+AE26+AF26</f>
        <v>2799.535699</v>
      </c>
      <c r="AH26" s="81"/>
      <c r="AI26" s="83">
        <v>319.78609999999998</v>
      </c>
      <c r="AJ26" s="82"/>
      <c r="AK26" s="81">
        <f>+AI26+AJ26</f>
        <v>319.78609999999998</v>
      </c>
      <c r="AM26" s="59">
        <f>+AC26*F26</f>
        <v>4706.2170905594758</v>
      </c>
      <c r="AN26" s="59">
        <f>+AD26*F26</f>
        <v>0</v>
      </c>
      <c r="AO26" s="59">
        <f>+AF26*F26</f>
        <v>1657.6468219858868</v>
      </c>
      <c r="AP26" s="59">
        <f>+T26*F26</f>
        <v>8253.9364919354848</v>
      </c>
      <c r="AS26" s="57">
        <f>+AC26/(C26/1000000)</f>
        <v>4148.1028190743345</v>
      </c>
      <c r="AT26" s="57">
        <f>+AD26/(C26/1000000)</f>
        <v>0</v>
      </c>
      <c r="AU26" s="57">
        <f>+AF26/(C26/1000000)</f>
        <v>1461.065081146063</v>
      </c>
      <c r="AV26" s="57">
        <f>+T26/(C26/1000000)</f>
        <v>7275.0951713083559</v>
      </c>
      <c r="AW26" s="57"/>
      <c r="AY26" s="59">
        <f>+AM26/(C26/1000000)</f>
        <v>9429.407113924015</v>
      </c>
      <c r="AZ26" s="59">
        <f>+AN26/(C26/1000000)</f>
        <v>0</v>
      </c>
      <c r="BA26" s="59">
        <f>+AO26/(C26/1000000)</f>
        <v>3321.2719334519875</v>
      </c>
      <c r="BB26" s="59">
        <f>+AP26/(C26/1000000)</f>
        <v>16537.640737197926</v>
      </c>
      <c r="BC26" s="59">
        <f>+AY26+AZ26+BA26</f>
        <v>12750.679047376003</v>
      </c>
      <c r="BD26" s="59"/>
    </row>
    <row r="27" spans="1:56" s="50" customFormat="1" ht="15">
      <c r="A27" s="101" t="s">
        <v>57</v>
      </c>
      <c r="B27" s="16" t="s">
        <v>54</v>
      </c>
      <c r="C27" s="27">
        <v>524000</v>
      </c>
      <c r="D27" s="26">
        <v>103.3</v>
      </c>
      <c r="E27" s="21">
        <f>+D27/D26-1</f>
        <v>4.1330645161290258E-2</v>
      </c>
      <c r="F27" s="87">
        <f>+$D$61/D27</f>
        <v>2.1829622458857698</v>
      </c>
      <c r="G27" s="92">
        <f>30.5-2.5</f>
        <v>28</v>
      </c>
      <c r="H27" s="94">
        <v>131</v>
      </c>
      <c r="I27" s="94">
        <v>265.10000000000002</v>
      </c>
      <c r="J27" s="59">
        <v>1393.1</v>
      </c>
      <c r="K27" s="94"/>
      <c r="L27" s="94"/>
      <c r="M27" s="94">
        <v>1058.5</v>
      </c>
      <c r="N27" s="94">
        <v>13.9</v>
      </c>
      <c r="O27" s="94"/>
      <c r="P27" s="91">
        <f>SUM(H27:O27)</f>
        <v>2861.6</v>
      </c>
      <c r="Q27" s="59">
        <f>$Q26+P27</f>
        <v>18643.2</v>
      </c>
      <c r="R27" s="59">
        <v>528.5</v>
      </c>
      <c r="S27" s="59"/>
      <c r="T27" s="20">
        <f>+P27+R27</f>
        <v>3390.1</v>
      </c>
      <c r="U27" s="97">
        <f>P27/T27</f>
        <v>0.84410489366095398</v>
      </c>
      <c r="V27" s="18"/>
      <c r="W27" s="18"/>
      <c r="X27" s="59"/>
      <c r="Y27" s="59"/>
      <c r="Z27" s="97"/>
      <c r="AA27" s="97"/>
      <c r="AB27" s="89"/>
      <c r="AC27" s="95">
        <v>2129.688619</v>
      </c>
      <c r="AD27" s="82">
        <v>0</v>
      </c>
      <c r="AE27" s="81">
        <f>+AC27+AD27</f>
        <v>2129.688619</v>
      </c>
      <c r="AF27" s="82">
        <v>781.16083999999989</v>
      </c>
      <c r="AG27" s="81">
        <f>+AE27+AF27</f>
        <v>2910.849459</v>
      </c>
      <c r="AH27" s="81"/>
      <c r="AI27" s="83">
        <v>181.53489999999999</v>
      </c>
      <c r="AJ27" s="82"/>
      <c r="AK27" s="81">
        <f>+AI27+AJ27</f>
        <v>181.53489999999999</v>
      </c>
      <c r="AM27" s="59">
        <f>+AC27*F27</f>
        <v>4649.0298507696034</v>
      </c>
      <c r="AN27" s="59">
        <f>+AD27*F27</f>
        <v>0</v>
      </c>
      <c r="AO27" s="59">
        <f>+AF27*F27</f>
        <v>1705.2446216844144</v>
      </c>
      <c r="AP27" s="59">
        <f>+T27*F27</f>
        <v>7400.4603097773479</v>
      </c>
      <c r="AS27" s="57">
        <f>+AC27/(C27/1000000)</f>
        <v>4064.2912576335875</v>
      </c>
      <c r="AT27" s="57">
        <f>+AD27/(C27/1000000)</f>
        <v>0</v>
      </c>
      <c r="AU27" s="57">
        <f>+AF27/(C27/1000000)</f>
        <v>1490.7649618320609</v>
      </c>
      <c r="AV27" s="57">
        <f>+T27/(C27/1000000)</f>
        <v>6469.6564885496182</v>
      </c>
      <c r="AW27" s="57"/>
      <c r="AY27" s="59">
        <f>+AM27/(C27/1000000)</f>
        <v>8872.1943716977166</v>
      </c>
      <c r="AZ27" s="59">
        <f>+AN27/(C27/1000000)</f>
        <v>0</v>
      </c>
      <c r="BA27" s="59">
        <f>+AO27/(C27/1000000)</f>
        <v>3254.2836291687295</v>
      </c>
      <c r="BB27" s="59">
        <f>+AP27/(C27/1000000)</f>
        <v>14123.015858353718</v>
      </c>
      <c r="BC27" s="59">
        <f>+AY27+AZ27+BA27</f>
        <v>12126.478000866446</v>
      </c>
      <c r="BD27" s="59"/>
    </row>
    <row r="28" spans="1:56" s="50" customFormat="1" ht="15">
      <c r="A28" s="101" t="s">
        <v>56</v>
      </c>
      <c r="B28" s="16" t="s">
        <v>54</v>
      </c>
      <c r="C28" s="27">
        <v>543900</v>
      </c>
      <c r="D28" s="26">
        <v>105.8</v>
      </c>
      <c r="E28" s="21">
        <f>+D28/D27-1</f>
        <v>2.4201355275895509E-2</v>
      </c>
      <c r="F28" s="87">
        <f>+$D$61/D28</f>
        <v>2.1313799621928169</v>
      </c>
      <c r="G28" s="92">
        <f>27.94-2.5</f>
        <v>25.44</v>
      </c>
      <c r="H28" s="94">
        <v>128.4</v>
      </c>
      <c r="I28" s="94">
        <v>168.6</v>
      </c>
      <c r="J28" s="59">
        <v>1389.4</v>
      </c>
      <c r="K28" s="94"/>
      <c r="L28" s="94"/>
      <c r="M28" s="94">
        <v>1042.2</v>
      </c>
      <c r="N28" s="94">
        <v>14.9</v>
      </c>
      <c r="O28" s="94"/>
      <c r="P28" s="91">
        <f>SUM(H28:O28)</f>
        <v>2743.5000000000005</v>
      </c>
      <c r="Q28" s="59">
        <f>$Q27+P28</f>
        <v>21386.7</v>
      </c>
      <c r="R28" s="59">
        <v>516.5</v>
      </c>
      <c r="S28" s="59"/>
      <c r="T28" s="20">
        <f>+P28+R28</f>
        <v>3260.0000000000005</v>
      </c>
      <c r="U28" s="97">
        <f>P28/T28</f>
        <v>0.84156441717791408</v>
      </c>
      <c r="V28" s="18"/>
      <c r="W28" s="18"/>
      <c r="X28" s="59"/>
      <c r="Y28" s="59"/>
      <c r="Z28" s="97"/>
      <c r="AA28" s="97"/>
      <c r="AB28" s="89"/>
      <c r="AC28" s="95">
        <v>1996.409003</v>
      </c>
      <c r="AD28" s="82">
        <v>264.52387399999998</v>
      </c>
      <c r="AE28" s="81">
        <f>+AC28+AD28</f>
        <v>2260.9328770000002</v>
      </c>
      <c r="AF28" s="82">
        <v>1257.4433369999999</v>
      </c>
      <c r="AG28" s="81">
        <f>+AE28+AF28</f>
        <v>3518.3762139999999</v>
      </c>
      <c r="AH28" s="81"/>
      <c r="AI28" s="83">
        <f>210+145.625</f>
        <v>355.625</v>
      </c>
      <c r="AJ28" s="82"/>
      <c r="AK28" s="81">
        <f>+AI28+AJ28</f>
        <v>355.625</v>
      </c>
      <c r="AM28" s="59">
        <f>+AC28*F28</f>
        <v>4255.1061453355396</v>
      </c>
      <c r="AN28" s="59">
        <f>+AD28*F28</f>
        <v>563.80088456521742</v>
      </c>
      <c r="AO28" s="59">
        <f>+AF28*F28</f>
        <v>2680.0895320746695</v>
      </c>
      <c r="AP28" s="59">
        <f>+T28*F28</f>
        <v>6948.2986767485836</v>
      </c>
      <c r="AS28" s="57">
        <f>+AC28/(C28/1000000)</f>
        <v>3670.5442232027945</v>
      </c>
      <c r="AT28" s="57">
        <f>+AD28/(C28/1000000)</f>
        <v>486.34652325795173</v>
      </c>
      <c r="AU28" s="57">
        <f>+AF28/(C28/1000000)</f>
        <v>2311.9017043574181</v>
      </c>
      <c r="AV28" s="57">
        <f>+T28/(C28/1000000)</f>
        <v>5993.7488508917086</v>
      </c>
      <c r="AW28" s="57"/>
      <c r="AY28" s="59">
        <f>+AM28/(C28/1000000)</f>
        <v>7823.3244076770352</v>
      </c>
      <c r="AZ28" s="59">
        <f>+AN28/(C28/1000000)</f>
        <v>1036.5892343541411</v>
      </c>
      <c r="BA28" s="59">
        <f>+AO28/(C28/1000000)</f>
        <v>4927.5409672268233</v>
      </c>
      <c r="BB28" s="59">
        <f>+AP28/(C28/1000000)</f>
        <v>12774.956199206808</v>
      </c>
      <c r="BC28" s="59">
        <f>+AY28+AZ28+BA28</f>
        <v>13787.454609258</v>
      </c>
      <c r="BD28" s="59"/>
    </row>
    <row r="29" spans="1:56" s="50" customFormat="1" ht="15">
      <c r="A29" s="101" t="s">
        <v>55</v>
      </c>
      <c r="B29" s="16" t="s">
        <v>54</v>
      </c>
      <c r="C29" s="27">
        <v>550700</v>
      </c>
      <c r="D29" s="26">
        <v>107.8</v>
      </c>
      <c r="E29" s="21">
        <f>+D29/D28-1</f>
        <v>1.8903591682419618E-2</v>
      </c>
      <c r="F29" s="87">
        <f>+$D$61/D29</f>
        <v>2.0918367346938775</v>
      </c>
      <c r="G29" s="92">
        <f>21.97-2.5</f>
        <v>19.47</v>
      </c>
      <c r="H29" s="94">
        <v>113.5</v>
      </c>
      <c r="I29" s="94">
        <v>133.9</v>
      </c>
      <c r="J29" s="59">
        <v>1107.9000000000001</v>
      </c>
      <c r="K29" s="94"/>
      <c r="L29" s="94"/>
      <c r="M29" s="94">
        <v>845</v>
      </c>
      <c r="N29" s="94">
        <v>38.9</v>
      </c>
      <c r="O29" s="94">
        <v>418.2</v>
      </c>
      <c r="P29" s="91">
        <f>SUM(H29:O29)</f>
        <v>2657.4</v>
      </c>
      <c r="Q29" s="59">
        <f>$Q28+P29</f>
        <v>24044.100000000002</v>
      </c>
      <c r="R29" s="59">
        <v>418.1</v>
      </c>
      <c r="S29" s="59"/>
      <c r="T29" s="20">
        <f>+P29+R29</f>
        <v>3075.5</v>
      </c>
      <c r="U29" s="97">
        <f>P29/T29</f>
        <v>0.86405462526418475</v>
      </c>
      <c r="V29" s="18"/>
      <c r="W29" s="18"/>
      <c r="X29" s="59"/>
      <c r="Y29" s="59"/>
      <c r="Z29" s="97"/>
      <c r="AA29" s="97"/>
      <c r="AB29" s="89"/>
      <c r="AC29" s="95">
        <v>2005.1599000000001</v>
      </c>
      <c r="AD29" s="82">
        <v>268.64916199999999</v>
      </c>
      <c r="AE29" s="81">
        <f>+AC29+AD29</f>
        <v>2273.8090620000003</v>
      </c>
      <c r="AF29" s="82">
        <v>432.96300000000002</v>
      </c>
      <c r="AG29" s="81">
        <f>+AE29+AF29</f>
        <v>2706.7720620000005</v>
      </c>
      <c r="AH29" s="81"/>
      <c r="AI29" s="83">
        <v>77.566999999999993</v>
      </c>
      <c r="AJ29" s="82"/>
      <c r="AK29" s="81">
        <f>+AI29+AJ29</f>
        <v>77.566999999999993</v>
      </c>
      <c r="AM29" s="59">
        <f>+AC29*F29</f>
        <v>4194.4671377551022</v>
      </c>
      <c r="AN29" s="59">
        <f>+AD29*F29</f>
        <v>561.97018581632653</v>
      </c>
      <c r="AO29" s="59">
        <f>+AF29*F29</f>
        <v>905.68790816326532</v>
      </c>
      <c r="AP29" s="59">
        <f>+T29*F29</f>
        <v>6433.4438775510207</v>
      </c>
      <c r="AS29" s="57">
        <f>+AC29/(C29/1000000)</f>
        <v>3641.1111312874527</v>
      </c>
      <c r="AT29" s="57">
        <f>+AD29/(C29/1000000)</f>
        <v>487.83214454330852</v>
      </c>
      <c r="AU29" s="57">
        <f>+AF29/(C29/1000000)</f>
        <v>786.20483021608868</v>
      </c>
      <c r="AV29" s="57">
        <f>+T29/(C29/1000000)</f>
        <v>5584.7103686217542</v>
      </c>
      <c r="AW29" s="57"/>
      <c r="AY29" s="59">
        <f>+AM29/(C29/1000000)</f>
        <v>7616.610019529875</v>
      </c>
      <c r="AZ29" s="59">
        <f>+AN29/(C29/1000000)</f>
        <v>1020.4652003201862</v>
      </c>
      <c r="BA29" s="59">
        <f>+AO29/(C29/1000000)</f>
        <v>1644.6121448397773</v>
      </c>
      <c r="BB29" s="59">
        <f>+AP29/(C29/1000000)</f>
        <v>11682.302301708773</v>
      </c>
      <c r="BC29" s="59">
        <f>+AY29+AZ29+BA29</f>
        <v>10281.687364689838</v>
      </c>
      <c r="BD29" s="59"/>
    </row>
    <row r="30" spans="1:56" s="50" customFormat="1" ht="15">
      <c r="A30" s="101" t="s">
        <v>53</v>
      </c>
      <c r="B30" s="16" t="s">
        <v>49</v>
      </c>
      <c r="C30" s="27">
        <v>541300</v>
      </c>
      <c r="D30" s="26">
        <v>108.2</v>
      </c>
      <c r="E30" s="21">
        <f>+D30/D29-1</f>
        <v>3.7105751391466324E-3</v>
      </c>
      <c r="F30" s="87">
        <f>+$D$61/D30</f>
        <v>2.0841035120147873</v>
      </c>
      <c r="G30" s="98">
        <v>17.57</v>
      </c>
      <c r="H30" s="94">
        <v>102.5</v>
      </c>
      <c r="I30" s="94">
        <v>120.4</v>
      </c>
      <c r="J30" s="59">
        <v>648.5</v>
      </c>
      <c r="K30" s="94"/>
      <c r="L30" s="94"/>
      <c r="M30" s="94">
        <v>448.3</v>
      </c>
      <c r="N30" s="94">
        <v>4.3</v>
      </c>
      <c r="O30" s="94">
        <v>70.5</v>
      </c>
      <c r="P30" s="91">
        <f>SUM(H30:O30)</f>
        <v>1394.5</v>
      </c>
      <c r="Q30" s="59">
        <f>$Q29+P30</f>
        <v>25438.600000000002</v>
      </c>
      <c r="R30" s="59">
        <v>404.9</v>
      </c>
      <c r="S30" s="59"/>
      <c r="T30" s="20">
        <f>+P30+R30</f>
        <v>1799.4</v>
      </c>
      <c r="U30" s="97">
        <f>P30/T30</f>
        <v>0.77498054907191283</v>
      </c>
      <c r="V30" s="18"/>
      <c r="W30" s="18"/>
      <c r="X30" s="59"/>
      <c r="Y30" s="59"/>
      <c r="Z30" s="97"/>
      <c r="AA30" s="97"/>
      <c r="AB30" s="89"/>
      <c r="AC30" s="95">
        <v>1890.8151</v>
      </c>
      <c r="AD30" s="82">
        <v>299.21570000000003</v>
      </c>
      <c r="AE30" s="81">
        <f>+AC30+AD30</f>
        <v>2190.0308</v>
      </c>
      <c r="AF30" s="82">
        <v>336.74930000000001</v>
      </c>
      <c r="AG30" s="81">
        <f>+AE30+AF30</f>
        <v>2526.7800999999999</v>
      </c>
      <c r="AH30" s="81"/>
      <c r="AI30" s="83">
        <v>61</v>
      </c>
      <c r="AJ30" s="82"/>
      <c r="AK30" s="81">
        <f>+AI30+AJ30</f>
        <v>61</v>
      </c>
      <c r="AM30" s="59">
        <f>+AC30*F30</f>
        <v>3940.6543904805912</v>
      </c>
      <c r="AN30" s="59">
        <f>+AD30*F30</f>
        <v>623.59649121996301</v>
      </c>
      <c r="AO30" s="59">
        <f>+AF30*F30</f>
        <v>701.82039879852118</v>
      </c>
      <c r="AP30" s="59">
        <f>+T30*F30</f>
        <v>3750.1358595194083</v>
      </c>
      <c r="AS30" s="57">
        <f>+AC30/(C30/1000000)</f>
        <v>3493.1001293183076</v>
      </c>
      <c r="AT30" s="57">
        <f>+AD30/(C30/1000000)</f>
        <v>552.77239977831152</v>
      </c>
      <c r="AU30" s="57">
        <f>+AF30/(C30/1000000)</f>
        <v>622.11213744688712</v>
      </c>
      <c r="AV30" s="57">
        <f>+T30/(C30/1000000)</f>
        <v>3324.2194716423428</v>
      </c>
      <c r="AW30" s="57"/>
      <c r="AY30" s="59">
        <f>+AM30/(C30/1000000)</f>
        <v>7279.9822473315926</v>
      </c>
      <c r="AZ30" s="59">
        <f>+AN30/(C30/1000000)</f>
        <v>1152.0348997228209</v>
      </c>
      <c r="BA30" s="59">
        <f>+AO30/(C30/1000000)</f>
        <v>1296.5460905200835</v>
      </c>
      <c r="BB30" s="59">
        <f>+AP30/(C30/1000000)</f>
        <v>6928.0174755577464</v>
      </c>
      <c r="BC30" s="59">
        <f>+AY30+AZ30+BA30</f>
        <v>9728.5632375744972</v>
      </c>
      <c r="BD30" s="59"/>
    </row>
    <row r="31" spans="1:56" s="50" customFormat="1" ht="15">
      <c r="A31" s="101" t="s">
        <v>52</v>
      </c>
      <c r="B31" s="16" t="s">
        <v>49</v>
      </c>
      <c r="C31" s="27">
        <v>535000</v>
      </c>
      <c r="D31" s="26">
        <v>108.6</v>
      </c>
      <c r="E31" s="21">
        <f>+D31/D30-1</f>
        <v>3.696857670979492E-3</v>
      </c>
      <c r="F31" s="87">
        <f>+$D$61/D31</f>
        <v>2.076427255985267</v>
      </c>
      <c r="G31" s="98">
        <v>15.81</v>
      </c>
      <c r="H31" s="94">
        <v>96.2</v>
      </c>
      <c r="I31" s="94">
        <v>158</v>
      </c>
      <c r="J31" s="59">
        <v>818.7</v>
      </c>
      <c r="K31" s="94"/>
      <c r="L31" s="94"/>
      <c r="M31" s="94">
        <v>701.5</v>
      </c>
      <c r="N31" s="94">
        <v>11.3</v>
      </c>
      <c r="O31" s="94">
        <v>163.9</v>
      </c>
      <c r="P31" s="91">
        <f>SUM(H31:O31)</f>
        <v>1949.6000000000001</v>
      </c>
      <c r="Q31" s="59">
        <f>$Q30+P31</f>
        <v>27388.2</v>
      </c>
      <c r="R31" s="59">
        <v>356.2</v>
      </c>
      <c r="S31" s="59"/>
      <c r="T31" s="20">
        <f>+P31+R31</f>
        <v>2305.8000000000002</v>
      </c>
      <c r="U31" s="97">
        <f>P31/T31</f>
        <v>0.84551999306097669</v>
      </c>
      <c r="V31" s="18"/>
      <c r="W31" s="18"/>
      <c r="X31" s="59"/>
      <c r="Y31" s="59"/>
      <c r="Z31" s="97"/>
      <c r="AA31" s="97"/>
      <c r="AB31" s="89"/>
      <c r="AC31" s="95">
        <v>1718.7608</v>
      </c>
      <c r="AD31" s="82">
        <v>257.43830000000003</v>
      </c>
      <c r="AE31" s="81">
        <f>+AC31+AD31</f>
        <v>1976.1991</v>
      </c>
      <c r="AF31" s="82">
        <v>88.040800000000004</v>
      </c>
      <c r="AG31" s="81">
        <f>+AE31+AF31</f>
        <v>2064.2399</v>
      </c>
      <c r="AH31" s="81"/>
      <c r="AI31" s="83">
        <f>250-250</f>
        <v>0</v>
      </c>
      <c r="AJ31" s="82"/>
      <c r="AK31" s="81">
        <f>+AI31+AJ31</f>
        <v>0</v>
      </c>
      <c r="AM31" s="59">
        <f>+AC31*F31</f>
        <v>3568.8817716390422</v>
      </c>
      <c r="AN31" s="59">
        <f>+AD31*F31</f>
        <v>534.55190285451204</v>
      </c>
      <c r="AO31" s="59">
        <f>+AF31*F31</f>
        <v>182.81031675874772</v>
      </c>
      <c r="AP31" s="59">
        <f>+T31*F31</f>
        <v>4787.825966850829</v>
      </c>
      <c r="AS31" s="57">
        <f>+AC31/(C31/1000000)</f>
        <v>3212.637009345794</v>
      </c>
      <c r="AT31" s="57">
        <f>+AD31/(C31/1000000)</f>
        <v>481.19308411214956</v>
      </c>
      <c r="AU31" s="57">
        <f>+AF31/(C31/1000000)</f>
        <v>164.5622429906542</v>
      </c>
      <c r="AV31" s="57">
        <f>+T31/(C31/1000000)</f>
        <v>4309.9065420560746</v>
      </c>
      <c r="AW31" s="57"/>
      <c r="AY31" s="59">
        <f>+AM31/(C31/1000000)</f>
        <v>6670.8070497926019</v>
      </c>
      <c r="AZ31" s="59">
        <f>+AN31/(C31/1000000)</f>
        <v>999.16243524207846</v>
      </c>
      <c r="BA31" s="59">
        <f>+AO31/(C31/1000000)</f>
        <v>341.70152665186487</v>
      </c>
      <c r="BB31" s="59">
        <f>+AP31/(C31/1000000)</f>
        <v>8949.2074146744453</v>
      </c>
      <c r="BC31" s="59">
        <f>+AY31+AZ31+BA31</f>
        <v>8011.6710116865452</v>
      </c>
      <c r="BD31" s="59"/>
    </row>
    <row r="32" spans="1:56" s="50" customFormat="1" ht="15">
      <c r="A32" s="101" t="s">
        <v>51</v>
      </c>
      <c r="B32" s="16" t="s">
        <v>49</v>
      </c>
      <c r="C32" s="27">
        <v>538900</v>
      </c>
      <c r="D32" s="26">
        <v>111.7</v>
      </c>
      <c r="E32" s="21">
        <f>+D32/D31-1</f>
        <v>2.8545119705340793E-2</v>
      </c>
      <c r="F32" s="87">
        <f>+$D$61/D32</f>
        <v>2.0188003581020588</v>
      </c>
      <c r="G32" s="92">
        <v>14.85</v>
      </c>
      <c r="H32" s="94">
        <v>89.7</v>
      </c>
      <c r="I32" s="94">
        <v>166</v>
      </c>
      <c r="J32" s="59">
        <v>698.8</v>
      </c>
      <c r="K32" s="94"/>
      <c r="L32" s="94"/>
      <c r="M32" s="94">
        <v>611.5</v>
      </c>
      <c r="N32" s="94">
        <v>16.7</v>
      </c>
      <c r="O32" s="94">
        <v>257.7</v>
      </c>
      <c r="P32" s="91">
        <f>SUM(H32:O32)</f>
        <v>1840.4</v>
      </c>
      <c r="Q32" s="59">
        <f>$Q31+P32</f>
        <v>29228.600000000002</v>
      </c>
      <c r="R32" s="59">
        <v>345.8</v>
      </c>
      <c r="S32" s="59"/>
      <c r="T32" s="20">
        <f>+P32+R32</f>
        <v>2186.2000000000003</v>
      </c>
      <c r="U32" s="97">
        <f>P32/T32</f>
        <v>0.84182599945110226</v>
      </c>
      <c r="V32" s="18"/>
      <c r="W32" s="18"/>
      <c r="X32" s="59"/>
      <c r="Y32" s="59"/>
      <c r="Z32" s="97"/>
      <c r="AA32" s="97"/>
      <c r="AB32" s="89"/>
      <c r="AC32" s="95">
        <v>1959.2405999999999</v>
      </c>
      <c r="AD32" s="82">
        <v>256.8338</v>
      </c>
      <c r="AE32" s="81">
        <f>+AC32+AD32</f>
        <v>2216.0744</v>
      </c>
      <c r="AF32" s="82">
        <v>173.46100000000001</v>
      </c>
      <c r="AG32" s="81">
        <f>+AE32+AF32</f>
        <v>2389.5353999999998</v>
      </c>
      <c r="AH32" s="81"/>
      <c r="AI32" s="83">
        <f>16.721+34</f>
        <v>50.721000000000004</v>
      </c>
      <c r="AJ32" s="82"/>
      <c r="AK32" s="81">
        <f>+AI32+AJ32</f>
        <v>50.721000000000004</v>
      </c>
      <c r="AM32" s="59">
        <f>+AC32*F32</f>
        <v>3955.3156248880923</v>
      </c>
      <c r="AN32" s="59">
        <f>+AD32*F32</f>
        <v>518.49616741271257</v>
      </c>
      <c r="AO32" s="59">
        <f>+AF32*F32</f>
        <v>350.18312891674123</v>
      </c>
      <c r="AP32" s="59">
        <f>+T32*F32</f>
        <v>4413.5013428827215</v>
      </c>
      <c r="AS32" s="57">
        <f>+AC32/(C32/1000000)</f>
        <v>3635.6292447578394</v>
      </c>
      <c r="AT32" s="57">
        <f>+AD32/(C32/1000000)</f>
        <v>476.58897754685466</v>
      </c>
      <c r="AU32" s="57">
        <f>+AF32/(C32/1000000)</f>
        <v>321.87975505659676</v>
      </c>
      <c r="AV32" s="57">
        <f>+T32/(C32/1000000)</f>
        <v>4056.7823343848581</v>
      </c>
      <c r="AW32" s="57"/>
      <c r="AY32" s="59">
        <f>+AM32/(C32/1000000)</f>
        <v>7339.6096212434441</v>
      </c>
      <c r="AZ32" s="59">
        <f>+AN32/(C32/1000000)</f>
        <v>962.13799853908426</v>
      </c>
      <c r="BA32" s="59">
        <f>+AO32/(C32/1000000)</f>
        <v>649.81096477406049</v>
      </c>
      <c r="BB32" s="59">
        <f>+AP32/(C32/1000000)</f>
        <v>8189.8336293982575</v>
      </c>
      <c r="BC32" s="59">
        <f>+AY32+AZ32+BA32</f>
        <v>8951.5585845565893</v>
      </c>
      <c r="BD32" s="59"/>
    </row>
    <row r="33" spans="1:83" s="50" customFormat="1" ht="15">
      <c r="A33" s="101" t="s">
        <v>50</v>
      </c>
      <c r="B33" s="16" t="s">
        <v>49</v>
      </c>
      <c r="C33" s="27">
        <v>553171</v>
      </c>
      <c r="D33" s="26">
        <v>118.6</v>
      </c>
      <c r="E33" s="21">
        <f>+D33/D32-1</f>
        <v>6.1772605192479846E-2</v>
      </c>
      <c r="F33" s="87">
        <f>+$D$61/D33</f>
        <v>1.9013490725126476</v>
      </c>
      <c r="G33" s="98">
        <v>16.91</v>
      </c>
      <c r="H33" s="94">
        <v>89.8</v>
      </c>
      <c r="I33" s="94">
        <v>117.2</v>
      </c>
      <c r="J33" s="59">
        <v>1001.6</v>
      </c>
      <c r="K33" s="94"/>
      <c r="L33" s="94"/>
      <c r="M33" s="94">
        <v>753.7</v>
      </c>
      <c r="N33" s="94">
        <v>4.2</v>
      </c>
      <c r="O33" s="94">
        <v>154.80000000000001</v>
      </c>
      <c r="P33" s="91">
        <f>SUM(H33:O33)</f>
        <v>2121.3000000000002</v>
      </c>
      <c r="Q33" s="59">
        <f>$Q32+P33</f>
        <v>31349.9</v>
      </c>
      <c r="R33" s="59">
        <v>385.9</v>
      </c>
      <c r="S33" s="59"/>
      <c r="T33" s="20">
        <f>+P33+R33</f>
        <v>2507.2000000000003</v>
      </c>
      <c r="U33" s="97">
        <f>P33/T33</f>
        <v>0.84608328015315892</v>
      </c>
      <c r="V33" s="18"/>
      <c r="W33" s="18"/>
      <c r="X33" s="59"/>
      <c r="Y33" s="59"/>
      <c r="Z33" s="97"/>
      <c r="AA33" s="97"/>
      <c r="AB33" s="89"/>
      <c r="AC33" s="95">
        <v>2026.6767000000002</v>
      </c>
      <c r="AD33" s="82">
        <v>240.3236</v>
      </c>
      <c r="AE33" s="81">
        <f>+AC33+AD33</f>
        <v>2267.0003000000002</v>
      </c>
      <c r="AF33" s="82">
        <v>180.19319999999999</v>
      </c>
      <c r="AG33" s="81">
        <f>+AE33+AF33</f>
        <v>2447.1935000000003</v>
      </c>
      <c r="AH33" s="81"/>
      <c r="AI33" s="83">
        <f>10+34</f>
        <v>44</v>
      </c>
      <c r="AJ33" s="82"/>
      <c r="AK33" s="81">
        <f>+AI33+AJ33</f>
        <v>44</v>
      </c>
      <c r="AM33" s="59">
        <f>+AC33*F33</f>
        <v>3853.4198638279936</v>
      </c>
      <c r="AN33" s="59">
        <f>+AD33*F33</f>
        <v>456.93905396290052</v>
      </c>
      <c r="AO33" s="59">
        <f>+AF33*F33</f>
        <v>342.61017369308598</v>
      </c>
      <c r="AP33" s="59">
        <f>+T33*F33</f>
        <v>4767.0623946037103</v>
      </c>
      <c r="AS33" s="57">
        <f>+AC33/(C33/1000000)</f>
        <v>3663.7435801949132</v>
      </c>
      <c r="AT33" s="57">
        <f>+AD33/(C33/1000000)</f>
        <v>434.44721433336167</v>
      </c>
      <c r="AU33" s="57">
        <f>+AF33/(C33/1000000)</f>
        <v>325.7459266664377</v>
      </c>
      <c r="AV33" s="57">
        <f>+T33/(C33/1000000)</f>
        <v>4532.4140274887877</v>
      </c>
      <c r="AW33" s="57"/>
      <c r="AY33" s="59">
        <f>+AM33/(C33/1000000)</f>
        <v>6966.0554581277647</v>
      </c>
      <c r="AZ33" s="59">
        <f>+AN33/(C33/1000000)</f>
        <v>826.03580802844067</v>
      </c>
      <c r="BA33" s="59">
        <f>+AO33/(C33/1000000)</f>
        <v>619.35671554200417</v>
      </c>
      <c r="BB33" s="59">
        <f>+AP33/(C33/1000000)</f>
        <v>8617.7012074091199</v>
      </c>
      <c r="BC33" s="59">
        <f>+AY33+AZ33+BA33</f>
        <v>8411.4479816982093</v>
      </c>
      <c r="BD33" s="59"/>
    </row>
    <row r="34" spans="1:83" s="50" customFormat="1" ht="15">
      <c r="A34" s="101" t="s">
        <v>48</v>
      </c>
      <c r="B34" s="16" t="s">
        <v>44</v>
      </c>
      <c r="C34" s="27">
        <v>569054</v>
      </c>
      <c r="D34" s="26">
        <v>124</v>
      </c>
      <c r="E34" s="21">
        <f>+D34/D33-1</f>
        <v>4.5531197301855064E-2</v>
      </c>
      <c r="F34" s="87">
        <f>+$D$61/D34</f>
        <v>1.8185483870967742</v>
      </c>
      <c r="G34" s="92">
        <v>21.83</v>
      </c>
      <c r="H34" s="94">
        <v>85</v>
      </c>
      <c r="I34" s="94">
        <v>185.1</v>
      </c>
      <c r="J34" s="59">
        <v>1284.8</v>
      </c>
      <c r="K34" s="94"/>
      <c r="L34" s="94"/>
      <c r="M34" s="94">
        <v>958.7</v>
      </c>
      <c r="N34" s="94">
        <v>24.7</v>
      </c>
      <c r="O34" s="94">
        <v>33.5</v>
      </c>
      <c r="P34" s="91">
        <f>SUM(H34:O34)</f>
        <v>2571.8000000000002</v>
      </c>
      <c r="Q34" s="59">
        <f>$Q33+P34</f>
        <v>33921.700000000004</v>
      </c>
      <c r="R34" s="59">
        <v>414.8</v>
      </c>
      <c r="S34" s="59"/>
      <c r="T34" s="20">
        <f>+P34+R34</f>
        <v>2986.6000000000004</v>
      </c>
      <c r="U34" s="97">
        <f>P34/T34</f>
        <v>0.86111297127168007</v>
      </c>
      <c r="V34" s="18"/>
      <c r="W34" s="18"/>
      <c r="X34" s="59"/>
      <c r="Y34" s="59"/>
      <c r="Z34" s="97"/>
      <c r="AA34" s="97"/>
      <c r="AB34" s="89"/>
      <c r="AC34" s="95">
        <v>2162.8074999999999</v>
      </c>
      <c r="AD34" s="82">
        <f>224.3526+1.5</f>
        <v>225.8526</v>
      </c>
      <c r="AE34" s="81">
        <f>+AC34+AD34</f>
        <v>2388.6601000000001</v>
      </c>
      <c r="AF34" s="82">
        <v>147.31720000000001</v>
      </c>
      <c r="AG34" s="81">
        <f>+AE34+AF34</f>
        <v>2535.9773</v>
      </c>
      <c r="AH34" s="81"/>
      <c r="AI34" s="83">
        <f>13.6971+32+30+696.257</f>
        <v>771.95409999999993</v>
      </c>
      <c r="AJ34" s="82"/>
      <c r="AK34" s="81">
        <f>+AI34+AJ34</f>
        <v>771.95409999999993</v>
      </c>
      <c r="AM34" s="59">
        <f>+AC34*F34</f>
        <v>3933.1700907258064</v>
      </c>
      <c r="AN34" s="59">
        <f>+AD34*F34</f>
        <v>410.7238814516129</v>
      </c>
      <c r="AO34" s="59">
        <f>+AF34*F34</f>
        <v>267.90345645161295</v>
      </c>
      <c r="AP34" s="59">
        <f>+T34*F34</f>
        <v>5431.276612903227</v>
      </c>
      <c r="AS34" s="57">
        <f>+AC34/(C34/1000000)</f>
        <v>3800.7069627838482</v>
      </c>
      <c r="AT34" s="57">
        <f>+AD34/(C34/1000000)</f>
        <v>396.89133192983445</v>
      </c>
      <c r="AU34" s="57">
        <f>+AF34/(C34/1000000)</f>
        <v>258.88087949474044</v>
      </c>
      <c r="AV34" s="57">
        <f>+T34/(C34/1000000)</f>
        <v>5248.3595581438676</v>
      </c>
      <c r="AW34" s="57"/>
      <c r="AY34" s="59">
        <f>+AM34/(C34/1000000)</f>
        <v>6911.769516998047</v>
      </c>
      <c r="AZ34" s="59">
        <f>+AN34/(C34/1000000)</f>
        <v>721.76609153369088</v>
      </c>
      <c r="BA34" s="59">
        <f>+AO34/(C34/1000000)</f>
        <v>470.78740585535462</v>
      </c>
      <c r="BB34" s="59">
        <f>+AP34/(C34/1000000)</f>
        <v>9544.3958093664714</v>
      </c>
      <c r="BC34" s="59">
        <f>+AY34+AZ34+BA34</f>
        <v>8104.3230143870924</v>
      </c>
      <c r="BD34" s="59"/>
    </row>
    <row r="35" spans="1:83" s="50" customFormat="1" ht="15">
      <c r="A35" s="101" t="s">
        <v>47</v>
      </c>
      <c r="B35" s="16" t="s">
        <v>44</v>
      </c>
      <c r="C35" s="27">
        <v>586722</v>
      </c>
      <c r="D35" s="26">
        <v>128.19999999999999</v>
      </c>
      <c r="E35" s="21">
        <f>+D35/D34-1</f>
        <v>3.3870967741935321E-2</v>
      </c>
      <c r="F35" s="87">
        <f>+$D$61/D35</f>
        <v>1.7589703588143528</v>
      </c>
      <c r="G35" s="98">
        <v>16.96</v>
      </c>
      <c r="H35" s="94">
        <v>69</v>
      </c>
      <c r="I35" s="94">
        <v>165.5</v>
      </c>
      <c r="J35" s="59">
        <v>1053.2</v>
      </c>
      <c r="K35" s="94"/>
      <c r="L35" s="94"/>
      <c r="M35" s="94">
        <v>708.2</v>
      </c>
      <c r="N35" s="94">
        <v>6.8</v>
      </c>
      <c r="O35" s="94">
        <v>4.7</v>
      </c>
      <c r="P35" s="91">
        <f>SUM(H35:O35)</f>
        <v>2007.4</v>
      </c>
      <c r="Q35" s="59">
        <f>$Q34+P35</f>
        <v>35929.100000000006</v>
      </c>
      <c r="R35" s="59">
        <v>455.2</v>
      </c>
      <c r="S35" s="59"/>
      <c r="T35" s="20">
        <f>+P35+R35</f>
        <v>2462.6</v>
      </c>
      <c r="U35" s="97">
        <f>P35/T35</f>
        <v>0.81515471452935928</v>
      </c>
      <c r="V35" s="18"/>
      <c r="W35" s="18"/>
      <c r="X35" s="59"/>
      <c r="Y35" s="59"/>
      <c r="Z35" s="97"/>
      <c r="AA35" s="97"/>
      <c r="AB35" s="89"/>
      <c r="AC35" s="95">
        <v>2198.4295999999999</v>
      </c>
      <c r="AD35" s="82">
        <v>209.16659999999999</v>
      </c>
      <c r="AE35" s="81">
        <f>+AC35+AD35</f>
        <v>2407.5962</v>
      </c>
      <c r="AF35" s="82">
        <v>354.60809999999998</v>
      </c>
      <c r="AG35" s="81">
        <f>+AE35+AF35</f>
        <v>2762.2042999999999</v>
      </c>
      <c r="AH35" s="81"/>
      <c r="AI35" s="83">
        <f>11.65+45+28.5</f>
        <v>85.15</v>
      </c>
      <c r="AJ35" s="82">
        <v>-360.55700000000002</v>
      </c>
      <c r="AK35" s="81">
        <f>+AI35+AJ35</f>
        <v>-275.40700000000004</v>
      </c>
      <c r="AM35" s="59">
        <f>+AC35*F35</f>
        <v>3866.9725023400943</v>
      </c>
      <c r="AN35" s="59">
        <f>+AD35*F35</f>
        <v>367.91784945397819</v>
      </c>
      <c r="AO35" s="59">
        <f>+AF35*F35</f>
        <v>623.74513689547587</v>
      </c>
      <c r="AP35" s="59">
        <f>+T35*F35</f>
        <v>4331.6404056162255</v>
      </c>
      <c r="AS35" s="57">
        <f>+AC35/(C35/1000000)</f>
        <v>3746.969774441729</v>
      </c>
      <c r="AT35" s="57">
        <f>+AD35/(C35/1000000)</f>
        <v>356.50035280763291</v>
      </c>
      <c r="AU35" s="57">
        <f>+AF35/(C35/1000000)</f>
        <v>604.38862016423445</v>
      </c>
      <c r="AV35" s="57">
        <f>+T35/(C35/1000000)</f>
        <v>4197.2177624155902</v>
      </c>
      <c r="AW35" s="57"/>
      <c r="AY35" s="59">
        <f>+AM35/(C35/1000000)</f>
        <v>6590.8087686163026</v>
      </c>
      <c r="AZ35" s="59">
        <f>+AN35/(C35/1000000)</f>
        <v>627.0735534954855</v>
      </c>
      <c r="BA35" s="59">
        <f>+AO35/(C35/1000000)</f>
        <v>1063.1016680735952</v>
      </c>
      <c r="BB35" s="59">
        <f>+AP35/(C35/1000000)</f>
        <v>7382.7816335781272</v>
      </c>
      <c r="BC35" s="59">
        <f>+AY35+AZ35+BA35</f>
        <v>8280.9839901853829</v>
      </c>
      <c r="BD35" s="59"/>
    </row>
    <row r="36" spans="1:83" s="50" customFormat="1" ht="15">
      <c r="A36" s="101" t="s">
        <v>46</v>
      </c>
      <c r="B36" s="16" t="s">
        <v>44</v>
      </c>
      <c r="C36" s="27">
        <v>596906</v>
      </c>
      <c r="D36" s="26">
        <v>132.19999999999999</v>
      </c>
      <c r="E36" s="21">
        <f>+D36/D35-1</f>
        <v>3.120124804992197E-2</v>
      </c>
      <c r="F36" s="87">
        <f>+$D$61/D36</f>
        <v>1.7057488653555222</v>
      </c>
      <c r="G36" s="92">
        <v>17.48</v>
      </c>
      <c r="H36" s="59">
        <v>66.900000000000006</v>
      </c>
      <c r="I36" s="59">
        <v>117.6</v>
      </c>
      <c r="J36" s="59">
        <v>1017.6</v>
      </c>
      <c r="K36" s="59"/>
      <c r="L36" s="59"/>
      <c r="M36" s="59">
        <v>716.7</v>
      </c>
      <c r="N36" s="94">
        <v>44.3</v>
      </c>
      <c r="O36" s="94">
        <v>4.7</v>
      </c>
      <c r="P36" s="91">
        <f>SUM(H36:O36)</f>
        <v>1967.8</v>
      </c>
      <c r="Q36" s="59">
        <f>$Q35+P36</f>
        <v>37896.900000000009</v>
      </c>
      <c r="R36" s="59">
        <v>384.2</v>
      </c>
      <c r="S36" s="59"/>
      <c r="T36" s="20">
        <f>+P36+R36</f>
        <v>2352</v>
      </c>
      <c r="U36" s="97">
        <f>P36/T36</f>
        <v>0.83664965986394557</v>
      </c>
      <c r="V36" s="18"/>
      <c r="W36" s="18"/>
      <c r="X36" s="59"/>
      <c r="Y36" s="59"/>
      <c r="Z36" s="97"/>
      <c r="AA36" s="97"/>
      <c r="AB36" s="89"/>
      <c r="AC36" s="95">
        <v>2211.7064999999998</v>
      </c>
      <c r="AD36" s="82">
        <v>198.6216</v>
      </c>
      <c r="AE36" s="81">
        <f>+AC36+AD36</f>
        <v>2410.3280999999997</v>
      </c>
      <c r="AF36" s="82">
        <v>300.55340000000001</v>
      </c>
      <c r="AG36" s="81">
        <f>+AE36+AF36</f>
        <v>2710.8814999999995</v>
      </c>
      <c r="AH36" s="81"/>
      <c r="AI36" s="83">
        <f>7.646+27</f>
        <v>34.646000000000001</v>
      </c>
      <c r="AJ36" s="82">
        <v>0</v>
      </c>
      <c r="AK36" s="81">
        <f>+AI36+AJ36</f>
        <v>34.646000000000001</v>
      </c>
      <c r="AM36" s="59">
        <f>+AC36*F36</f>
        <v>3772.6158528744327</v>
      </c>
      <c r="AN36" s="59">
        <f>+AD36*F36</f>
        <v>338.79856883509837</v>
      </c>
      <c r="AO36" s="59">
        <f>+AF36*F36</f>
        <v>512.66862102874438</v>
      </c>
      <c r="AP36" s="59">
        <f>+T36*F36</f>
        <v>4011.9213313161881</v>
      </c>
      <c r="AS36" s="57">
        <f>+AC36/(C36/1000000)</f>
        <v>3705.2844166418158</v>
      </c>
      <c r="AT36" s="57">
        <f>+AD36/(C36/1000000)</f>
        <v>332.75189058243672</v>
      </c>
      <c r="AU36" s="57">
        <f>+AF36/(C36/1000000)</f>
        <v>503.51881200725069</v>
      </c>
      <c r="AV36" s="57">
        <f>+T36/(C36/1000000)</f>
        <v>3940.3189111853453</v>
      </c>
      <c r="AW36" s="57"/>
      <c r="AY36" s="59">
        <f>+AM36/(C36/1000000)</f>
        <v>6320.2846895062748</v>
      </c>
      <c r="AZ36" s="59">
        <f>+AN36/(C36/1000000)</f>
        <v>567.59115980589627</v>
      </c>
      <c r="BA36" s="59">
        <f>+AO36/(C36/1000000)</f>
        <v>858.87664226652828</v>
      </c>
      <c r="BB36" s="59">
        <f>+AP36/(C36/1000000)</f>
        <v>6721.1945118933099</v>
      </c>
      <c r="BC36" s="59">
        <f>+AY36+AZ36+BA36</f>
        <v>7746.7524915786998</v>
      </c>
      <c r="BD36" s="59"/>
    </row>
    <row r="37" spans="1:83" s="50" customFormat="1" ht="15">
      <c r="A37" s="101" t="s">
        <v>45</v>
      </c>
      <c r="B37" s="16" t="s">
        <v>44</v>
      </c>
      <c r="C37" s="27">
        <v>600622</v>
      </c>
      <c r="D37" s="26">
        <v>135</v>
      </c>
      <c r="E37" s="21">
        <f>+D37/D36-1</f>
        <v>2.1180030257186067E-2</v>
      </c>
      <c r="F37" s="87">
        <f>+$D$61/D37</f>
        <v>1.6703703703703703</v>
      </c>
      <c r="G37" s="98">
        <v>14.08</v>
      </c>
      <c r="H37" s="59">
        <v>61.5</v>
      </c>
      <c r="I37" s="59">
        <v>17.8</v>
      </c>
      <c r="J37" s="59">
        <v>692.1</v>
      </c>
      <c r="K37" s="59"/>
      <c r="L37" s="59"/>
      <c r="M37" s="59">
        <v>516.1</v>
      </c>
      <c r="N37" s="94">
        <v>5.0999999999999996</v>
      </c>
      <c r="O37" s="94">
        <v>0.1</v>
      </c>
      <c r="P37" s="91">
        <f>SUM(H37:O37)</f>
        <v>1292.6999999999998</v>
      </c>
      <c r="Q37" s="59">
        <f>$Q36+P37</f>
        <v>39189.600000000006</v>
      </c>
      <c r="R37" s="59">
        <v>359.8</v>
      </c>
      <c r="S37" s="59"/>
      <c r="T37" s="20">
        <f>+P37+R37</f>
        <v>1652.4999999999998</v>
      </c>
      <c r="U37" s="97">
        <f>P37/T37</f>
        <v>0.78226928895612713</v>
      </c>
      <c r="V37" s="18"/>
      <c r="W37" s="18"/>
      <c r="X37" s="59"/>
      <c r="Y37" s="59"/>
      <c r="Z37" s="97"/>
      <c r="AA37" s="97"/>
      <c r="AB37" s="89"/>
      <c r="AC37" s="95">
        <v>2275.7070000000003</v>
      </c>
      <c r="AD37" s="82">
        <v>144.94900000000001</v>
      </c>
      <c r="AE37" s="81">
        <f>+AC37+AD37</f>
        <v>2420.6560000000004</v>
      </c>
      <c r="AF37" s="82">
        <v>639.44840000000011</v>
      </c>
      <c r="AG37" s="81">
        <f>+AE37+AF37</f>
        <v>3060.1044000000006</v>
      </c>
      <c r="AH37" s="81"/>
      <c r="AI37" s="83">
        <f>60.0682+66.9+13.2+26.7</f>
        <v>166.86819999999997</v>
      </c>
      <c r="AJ37" s="82">
        <v>-368.58199000000002</v>
      </c>
      <c r="AK37" s="81">
        <f>+AI37+AJ37</f>
        <v>-201.71379000000005</v>
      </c>
      <c r="AM37" s="59">
        <f>+AC37*F37</f>
        <v>3801.2735444444447</v>
      </c>
      <c r="AN37" s="59">
        <f>+AD37*F37</f>
        <v>242.11851481481483</v>
      </c>
      <c r="AO37" s="59">
        <f>+AF37*F37</f>
        <v>1068.1156607407409</v>
      </c>
      <c r="AP37" s="59">
        <f>+T37*F37</f>
        <v>2760.2870370370365</v>
      </c>
      <c r="AS37" s="57">
        <f>+AC37/(C37/1000000)</f>
        <v>3788.9171558817366</v>
      </c>
      <c r="AT37" s="57">
        <f>+AD37/(C37/1000000)</f>
        <v>241.33148635914105</v>
      </c>
      <c r="AU37" s="57">
        <f>+AF37/(C37/1000000)</f>
        <v>1064.6436527466528</v>
      </c>
      <c r="AV37" s="57">
        <f>+T37/(C37/1000000)</f>
        <v>2751.3144706654098</v>
      </c>
      <c r="AW37" s="57"/>
      <c r="AY37" s="59">
        <f>+AM37/(C37/1000000)</f>
        <v>6328.8949529728261</v>
      </c>
      <c r="AZ37" s="59">
        <f>+AN37/(C37/1000000)</f>
        <v>403.11296425175038</v>
      </c>
      <c r="BA37" s="59">
        <f>+AO37/(C37/1000000)</f>
        <v>1778.3492125508903</v>
      </c>
      <c r="BB37" s="59">
        <f>+AP37/(C37/1000000)</f>
        <v>4595.7141713707397</v>
      </c>
      <c r="BC37" s="59">
        <f>+AY37+AZ37+BA37</f>
        <v>8510.3571297754679</v>
      </c>
      <c r="BD37" s="59"/>
    </row>
    <row r="38" spans="1:83" s="50" customFormat="1" ht="15">
      <c r="A38" s="101" t="s">
        <v>43</v>
      </c>
      <c r="B38" s="50" t="s">
        <v>35</v>
      </c>
      <c r="C38" s="27">
        <v>601581</v>
      </c>
      <c r="D38" s="26">
        <v>138.9</v>
      </c>
      <c r="E38" s="21">
        <f>+D38/D37-1</f>
        <v>2.8888888888888964E-2</v>
      </c>
      <c r="F38" s="87">
        <f>+$D$61/D38</f>
        <v>1.6234701223902088</v>
      </c>
      <c r="G38" s="92">
        <v>16.850000000000001</v>
      </c>
      <c r="H38" s="59">
        <v>57.3</v>
      </c>
      <c r="I38" s="59">
        <v>128.5</v>
      </c>
      <c r="J38" s="59">
        <v>793.9</v>
      </c>
      <c r="K38" s="59"/>
      <c r="L38" s="59"/>
      <c r="M38" s="59">
        <v>631.79999999999995</v>
      </c>
      <c r="N38" s="94">
        <v>5</v>
      </c>
      <c r="O38" s="94">
        <v>0.7</v>
      </c>
      <c r="P38" s="91">
        <f>SUM(H38:O38)</f>
        <v>1617.2</v>
      </c>
      <c r="Q38" s="59">
        <f>$Q37+P38</f>
        <v>40806.800000000003</v>
      </c>
      <c r="R38" s="59">
        <v>465.7</v>
      </c>
      <c r="S38" s="59"/>
      <c r="T38" s="20">
        <f>+P38+R38</f>
        <v>2082.9</v>
      </c>
      <c r="U38" s="97">
        <f>P38/T38</f>
        <v>0.77641749483892653</v>
      </c>
      <c r="V38" s="18"/>
      <c r="W38" s="18"/>
      <c r="X38" s="59"/>
      <c r="Y38" s="59"/>
      <c r="Z38" s="97"/>
      <c r="AA38" s="97"/>
      <c r="AB38" s="89"/>
      <c r="AC38" s="95">
        <v>2244.2530000000002</v>
      </c>
      <c r="AD38" s="82">
        <v>133.0669</v>
      </c>
      <c r="AE38" s="81">
        <f>+AC38+AD38</f>
        <v>2377.3199</v>
      </c>
      <c r="AF38" s="82">
        <v>103.19589999999999</v>
      </c>
      <c r="AG38" s="81">
        <f>+AE38+AF38</f>
        <v>2480.5158000000001</v>
      </c>
      <c r="AH38" s="81"/>
      <c r="AI38" s="83">
        <f>200+25.9</f>
        <v>225.9</v>
      </c>
      <c r="AJ38" s="82">
        <v>-22.417985999999999</v>
      </c>
      <c r="AK38" s="81">
        <f>+AI38+AJ38</f>
        <v>203.48201399999999</v>
      </c>
      <c r="AM38" s="59">
        <f>+AC38*F38</f>
        <v>3643.4776925845936</v>
      </c>
      <c r="AN38" s="59">
        <f>+AD38*F38</f>
        <v>216.03013642908567</v>
      </c>
      <c r="AO38" s="59">
        <f>+AF38*F38</f>
        <v>167.53546040316775</v>
      </c>
      <c r="AP38" s="59">
        <f>+T38*F38</f>
        <v>3381.5259179265663</v>
      </c>
      <c r="AS38" s="57">
        <f>+AC38/(C38/1000000)</f>
        <v>3730.5915579115699</v>
      </c>
      <c r="AT38" s="57">
        <f>+AD38/(C38/1000000)</f>
        <v>221.19531700635491</v>
      </c>
      <c r="AU38" s="57">
        <f>+AF38/(C38/1000000)</f>
        <v>171.54115572134091</v>
      </c>
      <c r="AV38" s="57">
        <f>+T38/(C38/1000000)</f>
        <v>3462.3766375600294</v>
      </c>
      <c r="AW38" s="57"/>
      <c r="AY38" s="59">
        <f>+AM38/(C38/1000000)</f>
        <v>6056.5039331105763</v>
      </c>
      <c r="AZ38" s="59">
        <f>+AN38/(C38/1000000)</f>
        <v>359.10398837244804</v>
      </c>
      <c r="BA38" s="59">
        <f>+AO38/(C38/1000000)</f>
        <v>278.4919410738832</v>
      </c>
      <c r="BB38" s="59">
        <f>+AP38/(C38/1000000)</f>
        <v>5621.065023540581</v>
      </c>
      <c r="BC38" s="59">
        <f>+AY38+AZ38+BA38</f>
        <v>6694.0998625569073</v>
      </c>
      <c r="BD38" s="59"/>
    </row>
    <row r="39" spans="1:83" s="50" customFormat="1" ht="15">
      <c r="A39" s="101" t="s">
        <v>42</v>
      </c>
      <c r="B39" s="50" t="s">
        <v>35</v>
      </c>
      <c r="C39" s="27">
        <v>605212</v>
      </c>
      <c r="D39" s="26">
        <v>142.69999999999999</v>
      </c>
      <c r="E39" s="21">
        <f>+D39/D38-1</f>
        <v>2.7357811375089858E-2</v>
      </c>
      <c r="F39" s="87">
        <f>+$D$61/D39</f>
        <v>1.5802382620882973</v>
      </c>
      <c r="G39" s="98">
        <v>17.87</v>
      </c>
      <c r="H39" s="59">
        <v>56</v>
      </c>
      <c r="I39" s="59">
        <v>173.7</v>
      </c>
      <c r="J39" s="59">
        <v>787.2</v>
      </c>
      <c r="K39" s="59"/>
      <c r="L39" s="59"/>
      <c r="M39" s="59">
        <v>642.20000000000005</v>
      </c>
      <c r="N39" s="94">
        <v>5.7</v>
      </c>
      <c r="O39" s="94"/>
      <c r="P39" s="91">
        <f>SUM(H39:O39)</f>
        <v>1664.8000000000002</v>
      </c>
      <c r="Q39" s="59">
        <f>$Q38+P39</f>
        <v>42471.600000000006</v>
      </c>
      <c r="R39" s="59">
        <v>468.5</v>
      </c>
      <c r="S39" s="59"/>
      <c r="T39" s="20">
        <f>+P39+R39</f>
        <v>2133.3000000000002</v>
      </c>
      <c r="U39" s="97">
        <f>P39/T39</f>
        <v>0.78038719354989927</v>
      </c>
      <c r="V39" s="18"/>
      <c r="W39" s="18"/>
      <c r="X39" s="59"/>
      <c r="Y39" s="59"/>
      <c r="Z39" s="97"/>
      <c r="AA39" s="97"/>
      <c r="AB39" s="89"/>
      <c r="AC39" s="95">
        <v>2234.9231</v>
      </c>
      <c r="AD39" s="82">
        <v>109.40260000000001</v>
      </c>
      <c r="AE39" s="81">
        <f>+AC39+AD39</f>
        <v>2344.3256999999999</v>
      </c>
      <c r="AF39" s="82">
        <v>116.61499999999999</v>
      </c>
      <c r="AG39" s="81">
        <f>+AE39+AF39</f>
        <v>2460.9406999999997</v>
      </c>
      <c r="AH39" s="81"/>
      <c r="AI39" s="83">
        <f>1.5163+17.0621</f>
        <v>18.578400000000002</v>
      </c>
      <c r="AJ39" s="82">
        <v>-284.87356699999998</v>
      </c>
      <c r="AK39" s="81">
        <f>+AI39+AJ39</f>
        <v>-266.29516699999999</v>
      </c>
      <c r="AM39" s="59">
        <f>+AC39*F39</f>
        <v>3531.7109954449897</v>
      </c>
      <c r="AN39" s="59">
        <f>+AD39*F39</f>
        <v>172.88217449194116</v>
      </c>
      <c r="AO39" s="59">
        <f>+AF39*F39</f>
        <v>184.27948493342677</v>
      </c>
      <c r="AP39" s="59">
        <f>+T39*F39</f>
        <v>3371.1222845129651</v>
      </c>
      <c r="AS39" s="57">
        <f>+AC39/(C39/1000000)</f>
        <v>3692.7937648295142</v>
      </c>
      <c r="AT39" s="57">
        <f>+AD39/(C39/1000000)</f>
        <v>180.76740051420001</v>
      </c>
      <c r="AU39" s="57">
        <f>+AF39/(C39/1000000)</f>
        <v>192.68454690257298</v>
      </c>
      <c r="AV39" s="57">
        <f>+T39/(C39/1000000)</f>
        <v>3524.8805377289286</v>
      </c>
      <c r="AW39" s="57"/>
      <c r="AY39" s="59">
        <f>+AM39/(C39/1000000)</f>
        <v>5835.494001184692</v>
      </c>
      <c r="AZ39" s="59">
        <f>+AN39/(C39/1000000)</f>
        <v>285.65556283077859</v>
      </c>
      <c r="BA39" s="59">
        <f>+AO39/(C39/1000000)</f>
        <v>304.48749352859295</v>
      </c>
      <c r="BB39" s="59">
        <f>+AP39/(C39/1000000)</f>
        <v>5570.1510950096254</v>
      </c>
      <c r="BC39" s="59">
        <f>+AY39+AZ39+BA39</f>
        <v>6425.6370575440633</v>
      </c>
      <c r="BD39" s="59"/>
    </row>
    <row r="40" spans="1:83" s="50" customFormat="1" ht="15">
      <c r="A40" s="101" t="s">
        <v>41</v>
      </c>
      <c r="B40" s="50" t="s">
        <v>35</v>
      </c>
      <c r="C40" s="27">
        <v>609655</v>
      </c>
      <c r="D40" s="26">
        <v>144.80000000000001</v>
      </c>
      <c r="E40" s="21">
        <f>+D40/D39-1</f>
        <v>1.4716187806587344E-2</v>
      </c>
      <c r="F40" s="87">
        <f>+$D$61/D40</f>
        <v>1.5573204419889501</v>
      </c>
      <c r="G40" s="92">
        <v>20.76</v>
      </c>
      <c r="H40" s="59">
        <v>53.6</v>
      </c>
      <c r="I40" s="59">
        <v>269.39999999999998</v>
      </c>
      <c r="J40" s="59">
        <v>921.6</v>
      </c>
      <c r="K40" s="59"/>
      <c r="L40" s="59"/>
      <c r="M40" s="59">
        <v>759.2</v>
      </c>
      <c r="N40" s="94">
        <v>6.4</v>
      </c>
      <c r="O40" s="94"/>
      <c r="P40" s="91">
        <f>SUM(H40:O40)</f>
        <v>2010.2</v>
      </c>
      <c r="Q40" s="59">
        <f>$Q39+P40</f>
        <v>44481.8</v>
      </c>
      <c r="R40" s="59">
        <v>484.7</v>
      </c>
      <c r="S40" s="59"/>
      <c r="T40" s="20">
        <f>+P40+R40</f>
        <v>2494.9</v>
      </c>
      <c r="U40" s="97">
        <f>P40/T40</f>
        <v>0.80572367629965125</v>
      </c>
      <c r="V40" s="18"/>
      <c r="W40" s="18"/>
      <c r="X40" s="59"/>
      <c r="Y40" s="59"/>
      <c r="Z40" s="97"/>
      <c r="AA40" s="97"/>
      <c r="AB40" s="89"/>
      <c r="AC40" s="95">
        <v>2201.0836999999997</v>
      </c>
      <c r="AD40" s="82">
        <v>93.141199999999998</v>
      </c>
      <c r="AE40" s="81">
        <f>+AC40+AD40</f>
        <v>2294.2248999999997</v>
      </c>
      <c r="AF40" s="82">
        <v>106.5086</v>
      </c>
      <c r="AG40" s="81">
        <f>+AE40+AF40</f>
        <v>2400.7334999999998</v>
      </c>
      <c r="AH40" s="81"/>
      <c r="AI40" s="83">
        <f>1.4692+13.88+0.6</f>
        <v>15.949200000000001</v>
      </c>
      <c r="AJ40" s="82"/>
      <c r="AK40" s="81">
        <f>+AI40+AJ40</f>
        <v>15.949200000000001</v>
      </c>
      <c r="AM40" s="59">
        <f>+AC40*F40</f>
        <v>3427.7926405386734</v>
      </c>
      <c r="AN40" s="59">
        <f>+AD40*F40</f>
        <v>145.0506947513812</v>
      </c>
      <c r="AO40" s="59">
        <f>+AF40*F40</f>
        <v>165.86802002762431</v>
      </c>
      <c r="AP40" s="59">
        <f>+T40*F40</f>
        <v>3885.3587707182319</v>
      </c>
      <c r="AS40" s="57">
        <f>+AC40/(C40/1000000)</f>
        <v>3610.3758683189672</v>
      </c>
      <c r="AT40" s="57">
        <f>+AD40/(C40/1000000)</f>
        <v>152.77689840975634</v>
      </c>
      <c r="AU40" s="57">
        <f>+AF40/(C40/1000000)</f>
        <v>174.70306976896771</v>
      </c>
      <c r="AV40" s="57">
        <f>+T40/(C40/1000000)</f>
        <v>4092.3145057450529</v>
      </c>
      <c r="AW40" s="57"/>
      <c r="AY40" s="59">
        <f>+AM40/(C40/1000000)</f>
        <v>5622.5121429967339</v>
      </c>
      <c r="AZ40" s="59">
        <f>+AN40/(C40/1000000)</f>
        <v>237.92258695718269</v>
      </c>
      <c r="BA40" s="59">
        <f>+AO40/(C40/1000000)</f>
        <v>272.0686618294352</v>
      </c>
      <c r="BB40" s="59">
        <f>+AP40/(C40/1000000)</f>
        <v>6373.0450348446784</v>
      </c>
      <c r="BC40" s="59">
        <f>+AY40+AZ40+BA40</f>
        <v>6132.5033917833516</v>
      </c>
      <c r="BD40" s="59"/>
    </row>
    <row r="41" spans="1:83" s="50" customFormat="1" ht="15">
      <c r="A41" s="101" t="s">
        <v>40</v>
      </c>
      <c r="B41" s="16" t="s">
        <v>35</v>
      </c>
      <c r="C41" s="27">
        <v>617082</v>
      </c>
      <c r="D41" s="26">
        <v>146.9</v>
      </c>
      <c r="E41" s="21">
        <f>+D41/D40-1</f>
        <v>1.4502762430939287E-2</v>
      </c>
      <c r="F41" s="87">
        <f>+$D$61/D41</f>
        <v>1.5350578624914908</v>
      </c>
      <c r="G41" s="98">
        <v>15.39</v>
      </c>
      <c r="H41" s="59">
        <v>51.3</v>
      </c>
      <c r="I41" s="59">
        <v>200.1</v>
      </c>
      <c r="J41" s="59">
        <v>577.79999999999995</v>
      </c>
      <c r="K41" s="59"/>
      <c r="L41" s="59"/>
      <c r="M41" s="59">
        <v>480.4</v>
      </c>
      <c r="N41" s="94">
        <v>23</v>
      </c>
      <c r="O41" s="94"/>
      <c r="P41" s="91">
        <f>SUM(H41:O41)</f>
        <v>1332.6</v>
      </c>
      <c r="Q41" s="59">
        <f>$Q40+P41</f>
        <v>45814.400000000001</v>
      </c>
      <c r="R41" s="59">
        <v>492.9</v>
      </c>
      <c r="S41" s="59"/>
      <c r="T41" s="20">
        <f>+P41+R41</f>
        <v>1825.5</v>
      </c>
      <c r="U41" s="97">
        <f>P41/T41</f>
        <v>0.72999178307313062</v>
      </c>
      <c r="V41" s="18"/>
      <c r="W41" s="18"/>
      <c r="X41" s="59"/>
      <c r="Y41" s="59"/>
      <c r="Z41" s="97"/>
      <c r="AA41" s="97"/>
      <c r="AB41" s="89"/>
      <c r="AC41" s="95">
        <v>2183.0589</v>
      </c>
      <c r="AD41" s="82">
        <v>72.270700000000005</v>
      </c>
      <c r="AE41" s="81">
        <f>+AC41+AD41</f>
        <v>2255.3296</v>
      </c>
      <c r="AF41" s="82">
        <v>97.997600000000006</v>
      </c>
      <c r="AG41" s="81">
        <f>+AE41+AF41</f>
        <v>2353.3272000000002</v>
      </c>
      <c r="AH41" s="81"/>
      <c r="AI41" s="83">
        <f>1.4692+13.9721</f>
        <v>15.4413</v>
      </c>
      <c r="AJ41" s="82">
        <v>-423.31918999999999</v>
      </c>
      <c r="AK41" s="81">
        <f>+AI41+AJ41</f>
        <v>-407.87788999999998</v>
      </c>
      <c r="AM41" s="59">
        <f>+AC41*F41</f>
        <v>3351.1217287270251</v>
      </c>
      <c r="AN41" s="59">
        <f>+AD41*F41</f>
        <v>110.93970626276379</v>
      </c>
      <c r="AO41" s="59">
        <f>+AF41*F41</f>
        <v>150.43198638529611</v>
      </c>
      <c r="AP41" s="59">
        <f>+T41*F41</f>
        <v>2802.2481279782164</v>
      </c>
      <c r="AS41" s="57">
        <f>+AC41/(C41/1000000)</f>
        <v>3537.7128161249234</v>
      </c>
      <c r="AT41" s="57">
        <f>+AD41/(C41/1000000)</f>
        <v>117.11684994862919</v>
      </c>
      <c r="AU41" s="57">
        <f>+AF41/(C41/1000000)</f>
        <v>158.80806764741152</v>
      </c>
      <c r="AV41" s="57">
        <f>+T41/(C41/1000000)</f>
        <v>2958.2778301749199</v>
      </c>
      <c r="AW41" s="57"/>
      <c r="AY41" s="59">
        <f>+AM41/(C41/1000000)</f>
        <v>5430.5938736294775</v>
      </c>
      <c r="AZ41" s="59">
        <f>+AN41/(C41/1000000)</f>
        <v>179.7811413438794</v>
      </c>
      <c r="BA41" s="59">
        <f>+AO41/(C41/1000000)</f>
        <v>243.77957286923959</v>
      </c>
      <c r="BB41" s="59">
        <f>+AP41/(C41/1000000)</f>
        <v>4541.1276426442782</v>
      </c>
      <c r="BC41" s="59">
        <f>+AY41+AZ41+BA41</f>
        <v>5854.1545878425968</v>
      </c>
      <c r="BD41" s="59"/>
    </row>
    <row r="42" spans="1:83" s="50" customFormat="1" ht="15">
      <c r="A42" s="101" t="s">
        <v>39</v>
      </c>
      <c r="B42" s="50" t="s">
        <v>35</v>
      </c>
      <c r="C42" s="27">
        <v>622000</v>
      </c>
      <c r="D42" s="26">
        <v>148.4</v>
      </c>
      <c r="E42" s="21">
        <f>+D42/D41-1</f>
        <v>1.0211027910143056E-2</v>
      </c>
      <c r="F42" s="87">
        <f>+$D$61/D42</f>
        <v>1.5195417789757413</v>
      </c>
      <c r="G42" s="92">
        <v>12.99</v>
      </c>
      <c r="H42" s="59">
        <v>48.8</v>
      </c>
      <c r="I42" s="59">
        <v>145.1</v>
      </c>
      <c r="J42" s="59">
        <v>371.1</v>
      </c>
      <c r="K42" s="59"/>
      <c r="L42" s="59"/>
      <c r="M42" s="59">
        <v>322.60000000000002</v>
      </c>
      <c r="N42" s="94">
        <v>25.6</v>
      </c>
      <c r="O42" s="94"/>
      <c r="P42" s="91">
        <f>SUM(H42:O42)</f>
        <v>913.2</v>
      </c>
      <c r="Q42" s="59">
        <f>$Q41+P42</f>
        <v>46727.6</v>
      </c>
      <c r="R42" s="59">
        <v>438.9</v>
      </c>
      <c r="S42" s="59"/>
      <c r="T42" s="20">
        <f>+P42+R42</f>
        <v>1352.1</v>
      </c>
      <c r="U42" s="97">
        <f>P42/T42</f>
        <v>0.67539383181717338</v>
      </c>
      <c r="V42" s="18"/>
      <c r="W42" s="18"/>
      <c r="X42" s="59"/>
      <c r="Y42" s="59"/>
      <c r="Z42" s="97"/>
      <c r="AA42" s="97"/>
      <c r="AB42" s="89"/>
      <c r="AC42" s="95">
        <v>2175.2744000000002</v>
      </c>
      <c r="AD42" s="82">
        <v>46.029000000000003</v>
      </c>
      <c r="AE42" s="81">
        <f>+AC42+AD42</f>
        <v>2221.3034000000002</v>
      </c>
      <c r="AF42" s="82">
        <v>89.219899999999996</v>
      </c>
      <c r="AG42" s="81">
        <f>+AE42+AF42</f>
        <v>2310.5233000000003</v>
      </c>
      <c r="AH42" s="81"/>
      <c r="AI42" s="83">
        <v>17.2486</v>
      </c>
      <c r="AJ42" s="82">
        <v>-1098</v>
      </c>
      <c r="AK42" s="81">
        <f>+AI42+AJ42</f>
        <v>-1080.7514000000001</v>
      </c>
      <c r="AM42" s="59">
        <f>+AC42*F42</f>
        <v>3305.4203315363884</v>
      </c>
      <c r="AN42" s="59">
        <f>+AD42*F42</f>
        <v>69.942988544474403</v>
      </c>
      <c r="AO42" s="59">
        <f>+AF42*F42</f>
        <v>135.57336556603772</v>
      </c>
      <c r="AP42" s="59">
        <f>+T42*F42</f>
        <v>2054.5724393530995</v>
      </c>
      <c r="AS42" s="57">
        <f>+AC42/(C42/1000000)</f>
        <v>3497.2257234726694</v>
      </c>
      <c r="AT42" s="57">
        <f>+AD42/(C42/1000000)</f>
        <v>74.001607717041807</v>
      </c>
      <c r="AU42" s="57">
        <f>+AF42/(C42/1000000)</f>
        <v>143.4403536977492</v>
      </c>
      <c r="AV42" s="57">
        <f>+T42/(C42/1000000)</f>
        <v>2173.7942122186496</v>
      </c>
      <c r="AW42" s="57"/>
      <c r="AY42" s="59">
        <f>+AM42/(C42/1000000)</f>
        <v>5314.1805973253831</v>
      </c>
      <c r="AZ42" s="59">
        <f>+AN42/(C42/1000000)</f>
        <v>112.44853463741866</v>
      </c>
      <c r="BA42" s="59">
        <f>+AO42/(C42/1000000)</f>
        <v>217.96361023478732</v>
      </c>
      <c r="BB42" s="59">
        <f>+AP42/(C42/1000000)</f>
        <v>3303.1711243618965</v>
      </c>
      <c r="BC42" s="59">
        <f>+AY42+AZ42+BA42</f>
        <v>5644.5927421975894</v>
      </c>
      <c r="BD42" s="59"/>
    </row>
    <row r="43" spans="1:83" s="50" customFormat="1" ht="15">
      <c r="A43" s="49" t="s">
        <v>38</v>
      </c>
      <c r="B43" s="50" t="s">
        <v>35</v>
      </c>
      <c r="C43" s="27">
        <v>628346</v>
      </c>
      <c r="D43" s="26">
        <v>150.9</v>
      </c>
      <c r="E43" s="21">
        <f>+D43/D42-1</f>
        <v>1.6846361185983927E-2</v>
      </c>
      <c r="F43" s="87">
        <f>+$D$61/D43</f>
        <v>1.494367130550033</v>
      </c>
      <c r="G43" s="98">
        <v>24.42</v>
      </c>
      <c r="H43" s="59">
        <v>45</v>
      </c>
      <c r="I43" s="59">
        <v>162.69999999999999</v>
      </c>
      <c r="J43" s="59">
        <v>702.7</v>
      </c>
      <c r="K43" s="59"/>
      <c r="L43" s="59"/>
      <c r="M43" s="59">
        <v>731.9</v>
      </c>
      <c r="N43" s="94">
        <v>4</v>
      </c>
      <c r="O43" s="94"/>
      <c r="P43" s="91">
        <f>SUM(H43:O43)</f>
        <v>1646.3000000000002</v>
      </c>
      <c r="Q43" s="59">
        <f>$Q42+P43</f>
        <v>48373.9</v>
      </c>
      <c r="R43" s="59">
        <v>501.3</v>
      </c>
      <c r="S43" s="59"/>
      <c r="T43" s="20">
        <f>+P43+R43</f>
        <v>2147.6000000000004</v>
      </c>
      <c r="U43" s="97">
        <f>P43/T43</f>
        <v>0.76657664369528766</v>
      </c>
      <c r="V43" s="18"/>
      <c r="W43" s="18"/>
      <c r="X43" s="59"/>
      <c r="Y43" s="59"/>
      <c r="Z43" s="97"/>
      <c r="AA43" s="97"/>
      <c r="AB43" s="89"/>
      <c r="AC43" s="95">
        <v>2066.1608999999999</v>
      </c>
      <c r="AD43" s="82">
        <v>13.933</v>
      </c>
      <c r="AE43" s="81">
        <f>+AC43+AD43</f>
        <v>2080.0938999999998</v>
      </c>
      <c r="AF43" s="82">
        <v>104.202</v>
      </c>
      <c r="AG43" s="81">
        <f>+AE43+AF43</f>
        <v>2184.2959000000001</v>
      </c>
      <c r="AH43" s="81"/>
      <c r="AI43" s="83">
        <f>3.8+1673.5016-1633.971</f>
        <v>43.330600000000004</v>
      </c>
      <c r="AJ43" s="82">
        <v>-342</v>
      </c>
      <c r="AK43" s="81">
        <f>+AI43+AJ43</f>
        <v>-298.6694</v>
      </c>
      <c r="AM43" s="59">
        <f>+AC43*F43</f>
        <v>3087.6029353876734</v>
      </c>
      <c r="AN43" s="59">
        <f>+AD43*F43</f>
        <v>20.821017229953611</v>
      </c>
      <c r="AO43" s="59">
        <f>+AF43*F43</f>
        <v>155.71604373757452</v>
      </c>
      <c r="AP43" s="59">
        <f>+T43*F43</f>
        <v>3209.3028495692515</v>
      </c>
      <c r="AS43" s="57">
        <f>+AC43/(C43/1000000)</f>
        <v>3288.2534463496227</v>
      </c>
      <c r="AT43" s="57">
        <f>+AD43/(C43/1000000)</f>
        <v>22.174088798209905</v>
      </c>
      <c r="AU43" s="57">
        <f>+AF43/(C43/1000000)</f>
        <v>165.83538368987789</v>
      </c>
      <c r="AV43" s="57">
        <f>+T43/(C43/1000000)</f>
        <v>3417.8621332832554</v>
      </c>
      <c r="AW43" s="57"/>
      <c r="AY43" s="59">
        <f>+AM43/(C43/1000000)</f>
        <v>4913.8578671427422</v>
      </c>
      <c r="AZ43" s="59">
        <f>+AN43/(C43/1000000)</f>
        <v>33.136229449942569</v>
      </c>
      <c r="BA43" s="59">
        <f>+AO43/(C43/1000000)</f>
        <v>247.81894646830654</v>
      </c>
      <c r="BB43" s="59">
        <f>+AP43/(C43/1000000)</f>
        <v>5107.5408287301134</v>
      </c>
      <c r="BC43" s="59">
        <f>+AY43+AZ43+BA43</f>
        <v>5194.8130430609908</v>
      </c>
      <c r="BD43" s="59"/>
      <c r="BF43" s="63">
        <v>1638.3805</v>
      </c>
      <c r="BG43" s="63">
        <v>104.7422</v>
      </c>
      <c r="BH43" s="64">
        <v>1046.694064</v>
      </c>
      <c r="BI43" s="63">
        <v>1637.0458000000001</v>
      </c>
      <c r="BJ43" s="63">
        <f>+BF43+BG43+BH43+T43</f>
        <v>4937.4167640000005</v>
      </c>
      <c r="BL43" s="63">
        <f>+BF43*F43</f>
        <v>2448.3419665341285</v>
      </c>
      <c r="BM43" s="63">
        <f>+BG43*F43</f>
        <v>156.52330086149766</v>
      </c>
      <c r="BN43" s="64">
        <f>+BH43*F43</f>
        <v>1564.1452049834327</v>
      </c>
      <c r="BO43" s="63">
        <f>+BI43*F43</f>
        <v>2446.3474347249835</v>
      </c>
      <c r="BP43" s="63">
        <f>+BJ43*F43</f>
        <v>7378.3133219483107</v>
      </c>
      <c r="BQ43" s="63"/>
      <c r="BR43" s="63">
        <f>+BL43/(C43/1000000)</f>
        <v>3896.4869141112199</v>
      </c>
      <c r="BS43" s="64">
        <f>+BM43/(C43/1000000)</f>
        <v>249.10367991758946</v>
      </c>
      <c r="BT43" s="63">
        <f>+BN43/(C43/1000000)</f>
        <v>2489.3055816117758</v>
      </c>
      <c r="BU43" s="63">
        <f>+BO43/(C43/1000000)</f>
        <v>3893.3126569198876</v>
      </c>
      <c r="BV43" s="63">
        <f>+BP43/(C43/1000000)</f>
        <v>11742.437004370699</v>
      </c>
      <c r="BX43" s="63">
        <f>+BR43+AY43</f>
        <v>8810.3447812539616</v>
      </c>
      <c r="BY43" s="63">
        <f>+BS43+AZ43</f>
        <v>282.23990936753205</v>
      </c>
      <c r="BZ43" s="63">
        <f>+BT43+BA43</f>
        <v>2737.1245280800822</v>
      </c>
      <c r="CA43" s="63">
        <f>+BU43</f>
        <v>3893.3126569198876</v>
      </c>
      <c r="CB43" s="63">
        <f>+BV43+CA43</f>
        <v>15635.749661290585</v>
      </c>
      <c r="CC43" s="63">
        <f>+BX43+BY43+BZ43</f>
        <v>11829.709218701577</v>
      </c>
      <c r="CE43" s="63">
        <f>+CC43-BC43</f>
        <v>6634.8961756405861</v>
      </c>
    </row>
    <row r="44" spans="1:83" s="50" customFormat="1" ht="15">
      <c r="A44" s="49" t="s">
        <v>37</v>
      </c>
      <c r="B44" s="50" t="s">
        <v>35</v>
      </c>
      <c r="C44" s="27">
        <v>632716</v>
      </c>
      <c r="D44" s="26">
        <v>155.19999999999999</v>
      </c>
      <c r="E44" s="21">
        <f>+D44/D43-1</f>
        <v>2.8495692511596893E-2</v>
      </c>
      <c r="F44" s="87">
        <f>+$D$61/D44</f>
        <v>1.4529639175257734</v>
      </c>
      <c r="G44" s="92">
        <v>27.54</v>
      </c>
      <c r="H44" s="59">
        <v>45.1</v>
      </c>
      <c r="I44" s="59">
        <v>338.1</v>
      </c>
      <c r="J44" s="59">
        <v>703.8</v>
      </c>
      <c r="K44" s="59"/>
      <c r="L44" s="59"/>
      <c r="M44" s="59">
        <v>781</v>
      </c>
      <c r="N44" s="94">
        <v>7.1</v>
      </c>
      <c r="O44" s="94"/>
      <c r="P44" s="91">
        <f>SUM(H44:O44)</f>
        <v>1875.1</v>
      </c>
      <c r="Q44" s="59">
        <f>$Q43+P44</f>
        <v>50249</v>
      </c>
      <c r="R44" s="59">
        <v>406.9</v>
      </c>
      <c r="S44" s="59"/>
      <c r="T44" s="20">
        <f>+P44+R44</f>
        <v>2282</v>
      </c>
      <c r="U44" s="97">
        <f>P44/T44</f>
        <v>0.82169149868536373</v>
      </c>
      <c r="V44" s="18"/>
      <c r="W44" s="18"/>
      <c r="X44" s="59"/>
      <c r="Y44" s="59"/>
      <c r="Z44" s="97"/>
      <c r="AA44" s="97"/>
      <c r="AB44" s="89"/>
      <c r="AC44" s="95">
        <v>2117.2136</v>
      </c>
      <c r="AD44" s="82">
        <v>29.250399999999999</v>
      </c>
      <c r="AE44" s="81">
        <f>+AC44+AD44</f>
        <v>2146.4639999999999</v>
      </c>
      <c r="AF44" s="82">
        <v>146.95339999999999</v>
      </c>
      <c r="AG44" s="81">
        <f>+AE44+AF44</f>
        <v>2293.4173999999998</v>
      </c>
      <c r="AH44" s="81"/>
      <c r="AI44" s="83">
        <f>1952.0118-1820.761</f>
        <v>131.25080000000003</v>
      </c>
      <c r="AJ44" s="82"/>
      <c r="AK44" s="81">
        <f>+AI44+AJ44</f>
        <v>131.25080000000003</v>
      </c>
      <c r="AM44" s="59">
        <f>+AC44*F44</f>
        <v>3076.2349664948456</v>
      </c>
      <c r="AN44" s="59">
        <f>+AD44*F44</f>
        <v>42.499775773195879</v>
      </c>
      <c r="AO44" s="59">
        <f>+AF44*F44</f>
        <v>213.51798775773196</v>
      </c>
      <c r="AP44" s="59">
        <f>+T44*F44</f>
        <v>3315.663659793815</v>
      </c>
      <c r="AS44" s="57">
        <f>+AC44/(C44/1000000)</f>
        <v>3346.2305362911643</v>
      </c>
      <c r="AT44" s="57">
        <f>+AD44/(C44/1000000)</f>
        <v>46.229904095992516</v>
      </c>
      <c r="AU44" s="57">
        <f>+AF44/(C44/1000000)</f>
        <v>232.25807471282533</v>
      </c>
      <c r="AV44" s="57">
        <f>+T44/(C44/1000000)</f>
        <v>3606.6734522281722</v>
      </c>
      <c r="AW44" s="57"/>
      <c r="AY44" s="59">
        <f>+AM44/(C44/1000000)</f>
        <v>4861.9522289539791</v>
      </c>
      <c r="AZ44" s="59">
        <f>+AN44/(C44/1000000)</f>
        <v>67.170382562154089</v>
      </c>
      <c r="BA44" s="59">
        <f>+AO44/(C44/1000000)</f>
        <v>337.46260211174047</v>
      </c>
      <c r="BB44" s="59">
        <f>+AP44/(C44/1000000)</f>
        <v>5240.3663883856507</v>
      </c>
      <c r="BC44" s="59">
        <f>+AY44+AZ44+BA44</f>
        <v>5266.5852136278736</v>
      </c>
      <c r="BD44" s="59"/>
      <c r="BF44" s="63">
        <v>1829.1841999999999</v>
      </c>
      <c r="BG44" s="63">
        <v>62.098300000000002</v>
      </c>
      <c r="BH44" s="64">
        <v>1100.117937</v>
      </c>
      <c r="BI44" s="63">
        <v>1820.761</v>
      </c>
      <c r="BJ44" s="63">
        <f>+BF44+BG44+BH44+T44</f>
        <v>5273.4004370000002</v>
      </c>
      <c r="BL44" s="63">
        <f>+BF44*F44</f>
        <v>2657.7386411082475</v>
      </c>
      <c r="BM44" s="63">
        <f>+BG44*F44</f>
        <v>90.226589239690739</v>
      </c>
      <c r="BN44" s="64">
        <f>+BH44*F44</f>
        <v>1598.4316674838919</v>
      </c>
      <c r="BO44" s="63">
        <f>+BI44*F44</f>
        <v>2645.5000354381446</v>
      </c>
      <c r="BP44" s="63">
        <f>+BJ44*F44</f>
        <v>7662.0605576256457</v>
      </c>
      <c r="BQ44" s="63"/>
      <c r="BR44" s="63">
        <f>+BL44/(C44/1000000)</f>
        <v>4200.5238386705059</v>
      </c>
      <c r="BS44" s="64">
        <f>+BM44/(C44/1000000)</f>
        <v>142.60203509898713</v>
      </c>
      <c r="BT44" s="63">
        <f>+BN44/(C44/1000000)</f>
        <v>2526.3019545639627</v>
      </c>
      <c r="BU44" s="63">
        <f>+BO44/(C44/1000000)</f>
        <v>4181.1808701505015</v>
      </c>
      <c r="BV44" s="63">
        <f>+BP44/(C44/1000000)</f>
        <v>12109.794216719107</v>
      </c>
      <c r="BX44" s="63">
        <f>+BR44+AY44</f>
        <v>9062.4760676244841</v>
      </c>
      <c r="BY44" s="63">
        <f>+BS44+AZ44</f>
        <v>209.77241766114122</v>
      </c>
      <c r="BZ44" s="63">
        <f>+BT44+BA44</f>
        <v>2863.7645566757033</v>
      </c>
      <c r="CA44" s="63">
        <f>+BU44</f>
        <v>4181.1808701505015</v>
      </c>
      <c r="CB44" s="63">
        <f>+BV44+CA44</f>
        <v>16290.975086869608</v>
      </c>
      <c r="CC44" s="63">
        <f>+BX44+BY44+BZ44</f>
        <v>12136.013041961329</v>
      </c>
      <c r="CE44" s="63">
        <f>+CC44-BC44</f>
        <v>6869.4278283334552</v>
      </c>
    </row>
    <row r="45" spans="1:83" s="50" customFormat="1" ht="15">
      <c r="A45" s="49" t="s">
        <v>36</v>
      </c>
      <c r="B45" s="50" t="s">
        <v>35</v>
      </c>
      <c r="C45" s="27">
        <v>641729</v>
      </c>
      <c r="D45" s="26">
        <v>158.19999999999999</v>
      </c>
      <c r="E45" s="21">
        <f>+D45/D44-1</f>
        <v>1.9329896907216426E-2</v>
      </c>
      <c r="F45" s="87">
        <f>+$D$61/D45</f>
        <v>1.4254108723135273</v>
      </c>
      <c r="G45" s="98">
        <v>21.65</v>
      </c>
      <c r="H45" s="59">
        <v>49.6</v>
      </c>
      <c r="I45" s="59">
        <v>178.4</v>
      </c>
      <c r="J45" s="59">
        <v>496.3</v>
      </c>
      <c r="K45" s="59"/>
      <c r="L45" s="59"/>
      <c r="M45" s="59">
        <v>581.20000000000005</v>
      </c>
      <c r="N45" s="94">
        <v>14.6</v>
      </c>
      <c r="O45" s="94"/>
      <c r="P45" s="91">
        <f>SUM(H45:O45)</f>
        <v>1320.1</v>
      </c>
      <c r="Q45" s="59">
        <f>$Q44+P45</f>
        <v>51569.1</v>
      </c>
      <c r="R45" s="59">
        <v>347.9</v>
      </c>
      <c r="S45" s="59"/>
      <c r="T45" s="20">
        <f>+P45+R45</f>
        <v>1668</v>
      </c>
      <c r="U45" s="97">
        <f>P45/T45</f>
        <v>0.79142685851318939</v>
      </c>
      <c r="V45" s="18"/>
      <c r="W45" s="18"/>
      <c r="X45" s="59"/>
      <c r="Y45" s="59"/>
      <c r="Z45" s="97"/>
      <c r="AA45" s="97"/>
      <c r="AB45" s="89"/>
      <c r="AC45" s="95">
        <v>2258.5284000000001</v>
      </c>
      <c r="AD45" s="82">
        <v>59.325000000000003</v>
      </c>
      <c r="AE45" s="81">
        <f>+AC45+AD45</f>
        <v>2317.8534</v>
      </c>
      <c r="AF45" s="82">
        <v>193.15360000000001</v>
      </c>
      <c r="AG45" s="81">
        <f>+AE45+AF45</f>
        <v>2511.0070000000001</v>
      </c>
      <c r="AH45" s="81"/>
      <c r="AI45" s="83">
        <f>15.1077+1590.9314-1532.402</f>
        <v>73.637099999999919</v>
      </c>
      <c r="AJ45" s="82">
        <v>-750</v>
      </c>
      <c r="AK45" s="81">
        <f>+AI45+AJ45</f>
        <v>-676.36290000000008</v>
      </c>
      <c r="AM45" s="59">
        <f>+AC45*F45</f>
        <v>3219.3309367888751</v>
      </c>
      <c r="AN45" s="59">
        <f>+AD45*F45</f>
        <v>84.562500000000014</v>
      </c>
      <c r="AO45" s="59">
        <f>+AF45*F45</f>
        <v>275.32324146649813</v>
      </c>
      <c r="AP45" s="59">
        <f>+T45*F45</f>
        <v>2377.5853350189636</v>
      </c>
      <c r="AS45" s="57">
        <f>+AC45/(C45/1000000)</f>
        <v>3519.4426307678168</v>
      </c>
      <c r="AT45" s="57">
        <f>+AD45/(C45/1000000)</f>
        <v>92.44556502822843</v>
      </c>
      <c r="AU45" s="57">
        <f>+AF45/(C45/1000000)</f>
        <v>300.98935843634933</v>
      </c>
      <c r="AV45" s="57">
        <f>+T45/(C45/1000000)</f>
        <v>2599.2280230439951</v>
      </c>
      <c r="AW45" s="57"/>
      <c r="AY45" s="59">
        <f>+AM45/(C45/1000000)</f>
        <v>5016.6517903801687</v>
      </c>
      <c r="AZ45" s="59">
        <f>+AN45/(C45/1000000)</f>
        <v>131.77291348840401</v>
      </c>
      <c r="BA45" s="59">
        <f>+AO45/(C45/1000000)</f>
        <v>429.03350396584563</v>
      </c>
      <c r="BB45" s="59">
        <f>+AP45/(C45/1000000)</f>
        <v>3704.9678836689063</v>
      </c>
      <c r="BC45" s="59">
        <f>+AY45+AZ45+BA45</f>
        <v>5577.4582078344183</v>
      </c>
      <c r="BD45" s="59"/>
      <c r="BF45" s="63">
        <v>2060.2894000000001</v>
      </c>
      <c r="BG45" s="63">
        <v>71.425399999999996</v>
      </c>
      <c r="BH45" s="64">
        <v>1272.0010109999998</v>
      </c>
      <c r="BI45" s="63">
        <v>1532.402</v>
      </c>
      <c r="BJ45" s="63">
        <f>+BF45+BG45+BH45+T45</f>
        <v>5071.715811</v>
      </c>
      <c r="BL45" s="63">
        <f>+BF45*F45</f>
        <v>2936.7589108723137</v>
      </c>
      <c r="BM45" s="63">
        <f>+BG45*F45</f>
        <v>101.81054171934261</v>
      </c>
      <c r="BN45" s="64">
        <f>+BH45*F45</f>
        <v>1813.1240706731983</v>
      </c>
      <c r="BO45" s="63">
        <f>+BI45*F45</f>
        <v>2184.3024715549936</v>
      </c>
      <c r="BP45" s="63">
        <f>+BJ45*F45</f>
        <v>7229.2788582838184</v>
      </c>
      <c r="BQ45" s="63"/>
      <c r="BR45" s="63">
        <f>+BL45/(C45/1000000)</f>
        <v>4576.3225767766671</v>
      </c>
      <c r="BS45" s="64">
        <f>+BM45/(C45/1000000)</f>
        <v>158.65036755288074</v>
      </c>
      <c r="BT45" s="63">
        <f>+BN45/(C45/1000000)</f>
        <v>2825.3734374996275</v>
      </c>
      <c r="BU45" s="63">
        <f>+BO45/(C45/1000000)</f>
        <v>3403.7770952458027</v>
      </c>
      <c r="BV45" s="63">
        <f>+BP45/(C45/1000000)</f>
        <v>11265.314265498082</v>
      </c>
      <c r="BX45" s="63">
        <f>+BR45+AY45</f>
        <v>9592.9743671568358</v>
      </c>
      <c r="BY45" s="63">
        <f>+BS45+AZ45</f>
        <v>290.42328104128478</v>
      </c>
      <c r="BZ45" s="63">
        <f>+BT45+BA45</f>
        <v>3254.4069414654732</v>
      </c>
      <c r="CA45" s="63">
        <f>+BU45</f>
        <v>3403.7770952458027</v>
      </c>
      <c r="CB45" s="63">
        <f>+BV45+CA45</f>
        <v>14669.091360743885</v>
      </c>
      <c r="CC45" s="63">
        <f>+BX45+BY45+BZ45</f>
        <v>13137.804589663594</v>
      </c>
      <c r="CE45" s="63">
        <f>+CC45-BC45</f>
        <v>7560.3463818291757</v>
      </c>
    </row>
    <row r="46" spans="1:83" s="50" customFormat="1" ht="15">
      <c r="A46" s="49" t="s">
        <v>34</v>
      </c>
      <c r="B46" s="16" t="s">
        <v>30</v>
      </c>
      <c r="C46" s="27">
        <v>649466</v>
      </c>
      <c r="D46" s="26">
        <v>162.5</v>
      </c>
      <c r="E46" s="21">
        <f>+D46/D45-1</f>
        <v>2.7180783817952081E-2</v>
      </c>
      <c r="F46" s="87">
        <f>+$D$61/D46</f>
        <v>1.3876923076923078</v>
      </c>
      <c r="G46" s="92">
        <v>28.59</v>
      </c>
      <c r="H46" s="59">
        <v>48.7</v>
      </c>
      <c r="I46" s="59">
        <v>151.1</v>
      </c>
      <c r="J46" s="59">
        <v>599</v>
      </c>
      <c r="K46" s="59"/>
      <c r="L46" s="59"/>
      <c r="M46" s="59">
        <v>830.7</v>
      </c>
      <c r="N46" s="94">
        <v>9.6</v>
      </c>
      <c r="O46" s="94"/>
      <c r="P46" s="91">
        <f>SUM(H46:O46)</f>
        <v>1639.1</v>
      </c>
      <c r="Q46" s="59">
        <f>$Q45+P46</f>
        <v>53208.2</v>
      </c>
      <c r="R46" s="59">
        <v>307.8</v>
      </c>
      <c r="S46" s="59"/>
      <c r="T46" s="20">
        <f>+P46+R46</f>
        <v>1946.8999999999999</v>
      </c>
      <c r="U46" s="97">
        <f>P46/T46</f>
        <v>0.84190251168524322</v>
      </c>
      <c r="V46" s="18"/>
      <c r="W46" s="18"/>
      <c r="X46" s="59"/>
      <c r="Y46" s="59"/>
      <c r="Z46" s="97"/>
      <c r="AA46" s="97"/>
      <c r="AB46" s="89"/>
      <c r="AC46" s="95">
        <v>2340.2053000000001</v>
      </c>
      <c r="AD46" s="82">
        <v>53.898200000000003</v>
      </c>
      <c r="AE46" s="81">
        <f>+AC46+AD46</f>
        <v>2394.1035000000002</v>
      </c>
      <c r="AF46" s="82">
        <v>157.1326</v>
      </c>
      <c r="AG46" s="81">
        <f>+AE46+AF46</f>
        <v>2551.2361000000001</v>
      </c>
      <c r="AH46" s="81"/>
      <c r="AI46" s="83">
        <f>15+1089.5116-1048.87</f>
        <v>55.641600000000153</v>
      </c>
      <c r="AJ46" s="82">
        <v>-549</v>
      </c>
      <c r="AK46" s="81">
        <f>+AI46+AJ46</f>
        <v>-493.35839999999985</v>
      </c>
      <c r="AL46" s="65"/>
      <c r="AM46" s="59">
        <f>+AC46*F46</f>
        <v>3247.4848932307696</v>
      </c>
      <c r="AN46" s="59">
        <f>+AD46*F46</f>
        <v>74.794117538461549</v>
      </c>
      <c r="AO46" s="59">
        <f>+AF46*F46</f>
        <v>218.05170030769233</v>
      </c>
      <c r="AP46" s="59">
        <f>+T46*F46</f>
        <v>2701.6981538461537</v>
      </c>
      <c r="AS46" s="57">
        <f>+AC46/(C46/1000000)</f>
        <v>3603.2760760378528</v>
      </c>
      <c r="AT46" s="57">
        <f>+AD46/(C46/1000000)</f>
        <v>82.988485925360223</v>
      </c>
      <c r="AU46" s="57">
        <f>+AF46/(C46/1000000)</f>
        <v>241.94122556069141</v>
      </c>
      <c r="AV46" s="57">
        <f>+T46/(C46/1000000)</f>
        <v>2997.6934897284846</v>
      </c>
      <c r="AW46" s="57"/>
      <c r="AY46" s="59">
        <f>+AM46/(C46/1000000)</f>
        <v>5000.2384932094519</v>
      </c>
      <c r="AZ46" s="59">
        <f>+AN46/(C46/1000000)</f>
        <v>115.16248354565374</v>
      </c>
      <c r="BA46" s="59">
        <f>+AO46/(C46/1000000)</f>
        <v>335.73997762422101</v>
      </c>
      <c r="BB46" s="59">
        <f>+AP46/(C46/1000000)</f>
        <v>4159.8761965155281</v>
      </c>
      <c r="BC46" s="59">
        <f>+AY46+AZ46+BA46</f>
        <v>5451.140954379327</v>
      </c>
      <c r="BD46" s="59"/>
      <c r="BF46" s="63">
        <v>2203.0526</v>
      </c>
      <c r="BG46" s="63">
        <v>105.64760000000001</v>
      </c>
      <c r="BH46" s="64">
        <v>1267.0253720000001</v>
      </c>
      <c r="BI46" s="63">
        <v>1048.8699999999999</v>
      </c>
      <c r="BJ46" s="63">
        <f>+BF46+BG46+BH46+T46</f>
        <v>5522.6255719999999</v>
      </c>
      <c r="BL46" s="63">
        <f>+BF46*F46</f>
        <v>3057.1591464615385</v>
      </c>
      <c r="BM46" s="63">
        <f>+BG46*F46</f>
        <v>146.60636184615387</v>
      </c>
      <c r="BN46" s="64">
        <f>+BH46*F46</f>
        <v>1758.2413623753848</v>
      </c>
      <c r="BO46" s="63">
        <f>+BI46*F46</f>
        <v>1455.5088307692306</v>
      </c>
      <c r="BP46" s="63">
        <f>+BJ46*F46</f>
        <v>7663.7050245292312</v>
      </c>
      <c r="BQ46" s="63"/>
      <c r="BR46" s="63">
        <f>+BL46/(C46/1000000)</f>
        <v>4707.1889005144822</v>
      </c>
      <c r="BS46" s="64">
        <f>+BM46/(C46/1000000)</f>
        <v>225.73369790898042</v>
      </c>
      <c r="BT46" s="63">
        <f>+BN46/(C46/1000000)</f>
        <v>2707.2107891335108</v>
      </c>
      <c r="BU46" s="63">
        <f>+BO46/(C46/1000000)</f>
        <v>2241.0854929576462</v>
      </c>
      <c r="BV46" s="63">
        <f>+BP46/(C46/1000000)</f>
        <v>11800.009584072501</v>
      </c>
      <c r="BX46" s="63">
        <f>+BR46+AY46</f>
        <v>9707.4273937239341</v>
      </c>
      <c r="BY46" s="63">
        <f>+BS46+AZ46</f>
        <v>340.89618145463419</v>
      </c>
      <c r="BZ46" s="63">
        <f>+BT46+BA46</f>
        <v>3042.9507667577318</v>
      </c>
      <c r="CA46" s="63">
        <f>+BU46</f>
        <v>2241.0854929576462</v>
      </c>
      <c r="CB46" s="63">
        <f>+BV46+CA46</f>
        <v>14041.095077030146</v>
      </c>
      <c r="CC46" s="63">
        <f>+BX46+BY46+BZ46</f>
        <v>13091.2743419363</v>
      </c>
      <c r="CE46" s="63">
        <f>+CC46-BC46</f>
        <v>7640.1333875569726</v>
      </c>
    </row>
    <row r="47" spans="1:83" s="50" customFormat="1" ht="15">
      <c r="A47" s="49" t="s">
        <v>33</v>
      </c>
      <c r="B47" s="50" t="s">
        <v>30</v>
      </c>
      <c r="C47" s="27">
        <v>659653</v>
      </c>
      <c r="D47" s="26">
        <v>166.7</v>
      </c>
      <c r="E47" s="21">
        <f>+D47/D46-1</f>
        <v>2.5846153846153852E-2</v>
      </c>
      <c r="F47" s="87">
        <f>+$D$61/D47</f>
        <v>1.3527294541091783</v>
      </c>
      <c r="G47" s="98">
        <v>32.36</v>
      </c>
      <c r="H47" s="59">
        <v>47.3</v>
      </c>
      <c r="I47" s="59">
        <v>298.8</v>
      </c>
      <c r="J47" s="59">
        <v>651.9</v>
      </c>
      <c r="K47" s="59"/>
      <c r="L47" s="59"/>
      <c r="M47" s="59">
        <v>1042.8</v>
      </c>
      <c r="N47" s="94">
        <f>10.4+2.9</f>
        <v>13.3</v>
      </c>
      <c r="O47" s="94"/>
      <c r="P47" s="91">
        <f>SUM(H47:O47)</f>
        <v>2054.1</v>
      </c>
      <c r="Q47" s="59">
        <f>$Q46+P47</f>
        <v>55262.299999999996</v>
      </c>
      <c r="R47" s="59">
        <v>291.5</v>
      </c>
      <c r="S47" s="59"/>
      <c r="T47" s="20">
        <f>+P47+R47</f>
        <v>2345.6</v>
      </c>
      <c r="U47" s="97">
        <f>P47/T47</f>
        <v>0.875724761255116</v>
      </c>
      <c r="V47" s="18"/>
      <c r="W47" s="18"/>
      <c r="X47" s="59"/>
      <c r="Y47" s="59"/>
      <c r="Z47" s="97"/>
      <c r="AA47" s="97"/>
      <c r="AB47" s="99"/>
      <c r="AC47" s="95">
        <v>2179.0106000000001</v>
      </c>
      <c r="AD47" s="82">
        <v>69.425799999999995</v>
      </c>
      <c r="AE47" s="81">
        <f>+AC47+AD47</f>
        <v>2248.4364</v>
      </c>
      <c r="AF47" s="82">
        <v>162.42490000000001</v>
      </c>
      <c r="AG47" s="81">
        <f>+AE47+AF47</f>
        <v>2410.8613</v>
      </c>
      <c r="AH47" s="81"/>
      <c r="AI47" s="83">
        <f>1219.0699-1129.148</f>
        <v>89.921900000000051</v>
      </c>
      <c r="AJ47" s="82">
        <v>-83</v>
      </c>
      <c r="AK47" s="81">
        <f>+AI47+AJ47</f>
        <v>6.9219000000000506</v>
      </c>
      <c r="AM47" s="59">
        <f>+AC47*F47</f>
        <v>2947.6118194361134</v>
      </c>
      <c r="AN47" s="59">
        <f>+AD47*F47</f>
        <v>93.914324535092987</v>
      </c>
      <c r="AO47" s="59">
        <f>+AF47*F47</f>
        <v>219.71694631073788</v>
      </c>
      <c r="AP47" s="59">
        <f>+T47*F47</f>
        <v>3172.9622075584884</v>
      </c>
      <c r="AQ47" s="100"/>
      <c r="AR47" s="100"/>
      <c r="AS47" s="57">
        <f>+AC47/(C47/1000000)</f>
        <v>3303.2679302603033</v>
      </c>
      <c r="AT47" s="57">
        <f>+AD47/(C47/1000000)</f>
        <v>105.24593991083189</v>
      </c>
      <c r="AU47" s="57">
        <f>+AF47/(C47/1000000)</f>
        <v>246.22778945900345</v>
      </c>
      <c r="AV47" s="57">
        <f>+T47/(C47/1000000)</f>
        <v>3555.80888739989</v>
      </c>
      <c r="AW47" s="57"/>
      <c r="AX47" s="100"/>
      <c r="AY47" s="59">
        <f>+AM47/(C47/1000000)</f>
        <v>4468.4278240773756</v>
      </c>
      <c r="AZ47" s="59">
        <f>+AN47/(C47/1000000)</f>
        <v>142.36928284278702</v>
      </c>
      <c r="BA47" s="59">
        <f>+AO47/(C47/1000000)</f>
        <v>333.0795832213874</v>
      </c>
      <c r="BB47" s="59">
        <f>+AP47/(C47/1000000)</f>
        <v>4810.0474151690178</v>
      </c>
      <c r="BC47" s="59">
        <f>+AY47+AZ47+BA47</f>
        <v>4943.8766901415502</v>
      </c>
      <c r="BD47" s="59"/>
      <c r="BF47" s="63">
        <v>2420.0473999999999</v>
      </c>
      <c r="BG47" s="63">
        <v>104.9786</v>
      </c>
      <c r="BH47" s="64">
        <v>1240.6597279999999</v>
      </c>
      <c r="BI47" s="63">
        <v>1131.5343</v>
      </c>
      <c r="BJ47" s="63">
        <f>+BF47+BG47+BH47+T47</f>
        <v>6111.2857279999989</v>
      </c>
      <c r="BL47" s="63">
        <f>+BF47*F47</f>
        <v>3273.6693983203363</v>
      </c>
      <c r="BM47" s="63">
        <f>+BG47*F47</f>
        <v>142.00764427114578</v>
      </c>
      <c r="BN47" s="64">
        <f>+BH47*F47</f>
        <v>1678.2769565926815</v>
      </c>
      <c r="BO47" s="63">
        <f>+BI47*F47</f>
        <v>1530.6597759448114</v>
      </c>
      <c r="BP47" s="63">
        <f>+BJ47*F47</f>
        <v>8266.9162067426514</v>
      </c>
      <c r="BQ47" s="63"/>
      <c r="BR47" s="63">
        <f>+BL47/(C47/1000000)</f>
        <v>4962.7143336274312</v>
      </c>
      <c r="BS47" s="64">
        <f>+BM47/(C47/1000000)</f>
        <v>215.27628051588604</v>
      </c>
      <c r="BT47" s="63">
        <f>+BN47/(C47/1000000)</f>
        <v>2544.1814963210677</v>
      </c>
      <c r="BU47" s="63">
        <f>+BO47/(C47/1000000)</f>
        <v>2320.4014473439993</v>
      </c>
      <c r="BV47" s="63">
        <f>+BP47/(C47/1000000)</f>
        <v>12532.219525633402</v>
      </c>
      <c r="BX47" s="63">
        <f>+BR47+AY47</f>
        <v>9431.1421577048059</v>
      </c>
      <c r="BY47" s="63">
        <f>+BS47+AZ47</f>
        <v>357.64556335867303</v>
      </c>
      <c r="BZ47" s="63">
        <f>+BT47+BA47</f>
        <v>2877.2610795424553</v>
      </c>
      <c r="CA47" s="63">
        <f>+BU47</f>
        <v>2320.4014473439993</v>
      </c>
      <c r="CB47" s="63">
        <f>+BV47+CA47</f>
        <v>14852.620972977402</v>
      </c>
      <c r="CC47" s="63">
        <f>+BX47+BY47+BZ47</f>
        <v>12666.048800605935</v>
      </c>
      <c r="CE47" s="63">
        <f>+CC47-BC47</f>
        <v>7722.1721104643848</v>
      </c>
    </row>
    <row r="48" spans="1:83" s="50" customFormat="1" ht="15">
      <c r="A48" s="49" t="s">
        <v>32</v>
      </c>
      <c r="B48" s="50" t="s">
        <v>30</v>
      </c>
      <c r="C48" s="27">
        <v>667146</v>
      </c>
      <c r="D48" s="26">
        <v>171.8</v>
      </c>
      <c r="E48" s="21">
        <f>+D48/D47-1</f>
        <v>3.0593881223755393E-2</v>
      </c>
      <c r="F48" s="87">
        <f>+$D$61/D48</f>
        <v>1.3125727590221186</v>
      </c>
      <c r="G48" s="92">
        <v>44.85</v>
      </c>
      <c r="H48" s="59">
        <v>42.5</v>
      </c>
      <c r="I48" s="59">
        <v>524</v>
      </c>
      <c r="J48" s="59">
        <v>863.2</v>
      </c>
      <c r="K48" s="59"/>
      <c r="L48" s="59"/>
      <c r="M48" s="59">
        <v>1401</v>
      </c>
      <c r="N48" s="94">
        <v>18.8</v>
      </c>
      <c r="O48" s="94"/>
      <c r="P48" s="91">
        <f>SUM(H48:O48)</f>
        <v>2849.5</v>
      </c>
      <c r="Q48" s="59">
        <f>$Q47+P48</f>
        <v>58111.799999999996</v>
      </c>
      <c r="R48" s="59">
        <v>339</v>
      </c>
      <c r="S48" s="59"/>
      <c r="T48" s="20">
        <f>+P48+R48</f>
        <v>3188.5</v>
      </c>
      <c r="U48" s="97">
        <f>P48/T48</f>
        <v>0.89368041398776854</v>
      </c>
      <c r="V48" s="18"/>
      <c r="W48" s="18"/>
      <c r="X48" s="59"/>
      <c r="Y48" s="59"/>
      <c r="Z48" s="97"/>
      <c r="AA48" s="97"/>
      <c r="AB48" s="99"/>
      <c r="AC48" s="95">
        <v>2392.7177000000001</v>
      </c>
      <c r="AD48" s="82">
        <v>73.472200000000001</v>
      </c>
      <c r="AE48" s="81">
        <f>+AC48+AD48</f>
        <v>2466.1899000000003</v>
      </c>
      <c r="AF48" s="82">
        <v>180.1961</v>
      </c>
      <c r="AG48" s="81">
        <f>+AE48+AF48</f>
        <v>2646.3860000000004</v>
      </c>
      <c r="AH48" s="81"/>
      <c r="AI48" s="83">
        <f>1648.1019-1173.131</f>
        <v>474.9708999999998</v>
      </c>
      <c r="AJ48" s="82">
        <v>-11</v>
      </c>
      <c r="AK48" s="81">
        <f>+AI48+AJ48</f>
        <v>463.9708999999998</v>
      </c>
      <c r="AM48" s="59">
        <f>+AC48*F48</f>
        <v>3140.6160730500578</v>
      </c>
      <c r="AN48" s="59">
        <f>+AD48*F48</f>
        <v>96.437608265424899</v>
      </c>
      <c r="AO48" s="59">
        <f>+AF48*F48</f>
        <v>236.52049214202557</v>
      </c>
      <c r="AP48" s="59">
        <f>+T48*F48</f>
        <v>4185.1382421420249</v>
      </c>
      <c r="AS48" s="57">
        <f>+AC48/(C48/1000000)</f>
        <v>3586.4978580400693</v>
      </c>
      <c r="AT48" s="57">
        <f>+AD48/(C48/1000000)</f>
        <v>110.12911716475854</v>
      </c>
      <c r="AU48" s="57">
        <f>+AF48/(C48/1000000)</f>
        <v>270.09994813728929</v>
      </c>
      <c r="AV48" s="57">
        <f>+T48/(C48/1000000)</f>
        <v>4779.313673468776</v>
      </c>
      <c r="AW48" s="57"/>
      <c r="AY48" s="59">
        <f>+AM48/(C48/1000000)</f>
        <v>4707.5393887545724</v>
      </c>
      <c r="AZ48" s="59">
        <f>+AN48/(C48/1000000)</f>
        <v>144.55247916561726</v>
      </c>
      <c r="BA48" s="59">
        <f>+AO48/(C48/1000000)</f>
        <v>354.52583413829291</v>
      </c>
      <c r="BB48" s="59">
        <f>+AP48/(C48/1000000)</f>
        <v>6273.1969346170472</v>
      </c>
      <c r="BC48" s="59">
        <f>+AY48+AZ48+BA48</f>
        <v>5206.6177020584828</v>
      </c>
      <c r="BD48" s="59"/>
      <c r="BF48" s="63">
        <v>2543.1324</v>
      </c>
      <c r="BG48" s="63">
        <v>141.1062</v>
      </c>
      <c r="BH48" s="64">
        <v>1761.7875340000001</v>
      </c>
      <c r="BI48" s="63">
        <v>1173.1310000000001</v>
      </c>
      <c r="BJ48" s="63">
        <f>+BF48+BG48+BH48+T48</f>
        <v>7634.5261339999997</v>
      </c>
      <c r="BL48" s="63">
        <f>+BF48*F48</f>
        <v>3338.0463108265421</v>
      </c>
      <c r="BM48" s="63">
        <f>+BG48*F48</f>
        <v>185.21215424912685</v>
      </c>
      <c r="BN48" s="64">
        <f>+BH48*F48</f>
        <v>2312.4743243131547</v>
      </c>
      <c r="BO48" s="63">
        <f>+BI48*F48</f>
        <v>1539.8197933643771</v>
      </c>
      <c r="BP48" s="63">
        <f>+BJ48*F48</f>
        <v>10020.871031530849</v>
      </c>
      <c r="BQ48" s="63"/>
      <c r="BR48" s="63">
        <f>+BL48/(C48/1000000)</f>
        <v>5003.4719698934596</v>
      </c>
      <c r="BS48" s="64">
        <f>+BM48/(C48/1000000)</f>
        <v>277.61862358333389</v>
      </c>
      <c r="BT48" s="63">
        <f>+BN48/(C48/1000000)</f>
        <v>3466.2192748111429</v>
      </c>
      <c r="BU48" s="63">
        <f>+BO48/(C48/1000000)</f>
        <v>2308.0701875816944</v>
      </c>
      <c r="BV48" s="63">
        <f>+BP48/(C48/1000000)</f>
        <v>15020.506802904985</v>
      </c>
      <c r="BX48" s="63">
        <f>+BR48+AY48</f>
        <v>9711.0113586480329</v>
      </c>
      <c r="BY48" s="63">
        <f>+BS48+AZ48</f>
        <v>422.17110274895117</v>
      </c>
      <c r="BZ48" s="63">
        <f>+BT48+BA48</f>
        <v>3820.7451089494357</v>
      </c>
      <c r="CA48" s="63">
        <f>+BU48</f>
        <v>2308.0701875816944</v>
      </c>
      <c r="CB48" s="63">
        <f>+BV48+CA48</f>
        <v>17328.576990486679</v>
      </c>
      <c r="CC48" s="63">
        <f>+BX48+BY48+BZ48</f>
        <v>13953.927570346419</v>
      </c>
      <c r="CE48" s="63">
        <f>+CC48-BC48</f>
        <v>8747.3098682879354</v>
      </c>
    </row>
    <row r="49" spans="1:83" s="50" customFormat="1" ht="15">
      <c r="A49" s="49" t="s">
        <v>31</v>
      </c>
      <c r="B49" s="50" t="s">
        <v>30</v>
      </c>
      <c r="C49" s="27">
        <v>674583</v>
      </c>
      <c r="D49" s="26">
        <v>177.3</v>
      </c>
      <c r="E49" s="21">
        <f>+D49/D48-1</f>
        <v>3.2013969732246794E-2</v>
      </c>
      <c r="F49" s="87">
        <f>+$D$61/D49</f>
        <v>1.2718556119571347</v>
      </c>
      <c r="G49" s="98">
        <v>62.12</v>
      </c>
      <c r="H49" s="59">
        <v>54.5</v>
      </c>
      <c r="I49" s="59">
        <v>661.1</v>
      </c>
      <c r="J49" s="59">
        <v>1199.55</v>
      </c>
      <c r="K49" s="59"/>
      <c r="L49" s="59"/>
      <c r="M49" s="59">
        <v>1772.2</v>
      </c>
      <c r="N49" s="94">
        <v>11.9</v>
      </c>
      <c r="O49" s="94"/>
      <c r="P49" s="91">
        <f>SUM(H49:O49)</f>
        <v>3699.2500000000005</v>
      </c>
      <c r="Q49" s="59">
        <f>$Q48+P49</f>
        <v>61811.049999999996</v>
      </c>
      <c r="R49" s="59">
        <v>501.14999999999918</v>
      </c>
      <c r="S49" s="59"/>
      <c r="T49" s="20">
        <f>+P49+R49</f>
        <v>4200.3999999999996</v>
      </c>
      <c r="U49" s="97">
        <f>P49/T49</f>
        <v>0.8806899342919724</v>
      </c>
      <c r="V49" s="18"/>
      <c r="W49" s="18"/>
      <c r="X49" s="59"/>
      <c r="Y49" s="59"/>
      <c r="Z49" s="97"/>
      <c r="AA49" s="97"/>
      <c r="AB49" s="89"/>
      <c r="AC49" s="95">
        <v>2705.3099000000002</v>
      </c>
      <c r="AD49" s="82">
        <v>158.47130000000001</v>
      </c>
      <c r="AE49" s="81">
        <f>+AC49+AD49</f>
        <v>2863.7812000000004</v>
      </c>
      <c r="AF49" s="82">
        <v>426.75650000000002</v>
      </c>
      <c r="AG49" s="81">
        <f>+AE49+AF49</f>
        <v>3290.5377000000003</v>
      </c>
      <c r="AH49" s="81"/>
      <c r="AI49" s="83">
        <f>38.124+2516.1021-1544.5365</f>
        <v>1009.6895999999999</v>
      </c>
      <c r="AJ49" s="82">
        <v>-34.9</v>
      </c>
      <c r="AK49" s="81">
        <f>+AI49+AJ49</f>
        <v>974.78959999999995</v>
      </c>
      <c r="AM49" s="59">
        <f>+AC49*F49</f>
        <v>3440.763578398195</v>
      </c>
      <c r="AN49" s="59">
        <f>+AD49*F49</f>
        <v>201.55261223914269</v>
      </c>
      <c r="AO49" s="59">
        <f>+AF49*F49</f>
        <v>542.77264946418495</v>
      </c>
      <c r="AP49" s="59">
        <f>+T49*F49</f>
        <v>5342.302312464748</v>
      </c>
      <c r="AS49" s="57">
        <f>+AC49/(C49/1000000)</f>
        <v>4010.3440199352785</v>
      </c>
      <c r="AT49" s="57">
        <f>+AD49/(C49/1000000)</f>
        <v>234.91742305987552</v>
      </c>
      <c r="AU49" s="57">
        <f>+AF49/(C49/1000000)</f>
        <v>632.62267208038145</v>
      </c>
      <c r="AV49" s="57">
        <f>+T49/(C49/1000000)</f>
        <v>6226.6615079241537</v>
      </c>
      <c r="AW49" s="57"/>
      <c r="AY49" s="59">
        <f>+AM49/(C49/1000000)</f>
        <v>5100.5785476334195</v>
      </c>
      <c r="AZ49" s="59">
        <f>+AN49/(C49/1000000)</f>
        <v>298.78104286521108</v>
      </c>
      <c r="BA49" s="59">
        <f>+AO49/(C49/1000000)</f>
        <v>804.6046957367513</v>
      </c>
      <c r="BB49" s="59">
        <f>+AP49/(C49/1000000)</f>
        <v>7919.4143826108093</v>
      </c>
      <c r="BC49" s="59">
        <f>+AY49+AZ49+BA49</f>
        <v>6203.9642862353821</v>
      </c>
      <c r="BD49" s="59"/>
      <c r="BF49" s="63">
        <v>2573.6887999999999</v>
      </c>
      <c r="BG49" s="63">
        <v>120.66289999999999</v>
      </c>
      <c r="BH49" s="64">
        <v>1364.103631</v>
      </c>
      <c r="BI49" s="63">
        <v>1546.2588000000001</v>
      </c>
      <c r="BJ49" s="63">
        <f>+BF49+BG49+BH49+T49</f>
        <v>8258.8553309999988</v>
      </c>
      <c r="BL49" s="63">
        <f>+BF49*F49</f>
        <v>3273.3605437112237</v>
      </c>
      <c r="BM49" s="63">
        <f>+BG49*F49</f>
        <v>153.46578652002253</v>
      </c>
      <c r="BN49" s="64">
        <f>+BH49*F49</f>
        <v>1734.9428583784545</v>
      </c>
      <c r="BO49" s="63">
        <f>+BI49*F49</f>
        <v>1966.6179323181047</v>
      </c>
      <c r="BP49" s="63">
        <f>+BJ49*F49</f>
        <v>10504.071501074448</v>
      </c>
      <c r="BQ49" s="63"/>
      <c r="BR49" s="63">
        <f>+BL49/(C49/1000000)</f>
        <v>4852.4207454252828</v>
      </c>
      <c r="BS49" s="64">
        <f>+BM49/(C49/1000000)</f>
        <v>227.49726352431432</v>
      </c>
      <c r="BT49" s="63">
        <f>+BN49/(C49/1000000)</f>
        <v>2571.8745630685244</v>
      </c>
      <c r="BU49" s="63">
        <f>+BO49/(C49/1000000)</f>
        <v>2915.3090610319332</v>
      </c>
      <c r="BV49" s="63">
        <f>+BP49/(C49/1000000)</f>
        <v>15571.206954628929</v>
      </c>
      <c r="BX49" s="63">
        <f>+BR49+AY49</f>
        <v>9952.9992930587032</v>
      </c>
      <c r="BY49" s="63">
        <f>+BS49+AZ49</f>
        <v>526.27830638952537</v>
      </c>
      <c r="BZ49" s="63">
        <f>+BT49+BA49</f>
        <v>3376.4792588052755</v>
      </c>
      <c r="CA49" s="63">
        <f>+BU49</f>
        <v>2915.3090610319332</v>
      </c>
      <c r="CB49" s="63">
        <f>+BV49+CA49</f>
        <v>18486.516015660862</v>
      </c>
      <c r="CC49" s="63">
        <f>+BX49+BY49+BZ49</f>
        <v>13855.756858253504</v>
      </c>
      <c r="CE49" s="63">
        <f>+CC49-BC49</f>
        <v>7651.792572018122</v>
      </c>
    </row>
    <row r="50" spans="1:83" s="50" customFormat="1" ht="15">
      <c r="A50" s="49" t="s">
        <v>29</v>
      </c>
      <c r="B50" s="16" t="s">
        <v>26</v>
      </c>
      <c r="C50" s="27">
        <v>680169</v>
      </c>
      <c r="D50" s="26">
        <v>181.23699999999999</v>
      </c>
      <c r="E50" s="21">
        <f>+D50/D49-1</f>
        <v>2.2205301748448925E-2</v>
      </c>
      <c r="F50" s="87">
        <f>+$D$61/D50</f>
        <v>1.244227172155796</v>
      </c>
      <c r="G50" s="98">
        <v>61.6</v>
      </c>
      <c r="H50" s="59">
        <v>65.599999999999994</v>
      </c>
      <c r="I50" s="59">
        <v>594.4</v>
      </c>
      <c r="J50" s="59">
        <v>2208.4</v>
      </c>
      <c r="K50" s="59"/>
      <c r="L50" s="59"/>
      <c r="M50" s="59">
        <v>1583.8</v>
      </c>
      <c r="N50" s="94">
        <v>29.2</v>
      </c>
      <c r="O50" s="94"/>
      <c r="P50" s="91">
        <f>SUM(H50:O50)</f>
        <v>4481.3999999999996</v>
      </c>
      <c r="Q50" s="59">
        <f>$Q49+P50</f>
        <v>66292.45</v>
      </c>
      <c r="R50" s="59">
        <v>667.1</v>
      </c>
      <c r="S50" s="59"/>
      <c r="T50" s="20">
        <f>+P50+R50</f>
        <v>5148.5</v>
      </c>
      <c r="U50" s="97">
        <f>P50/T50</f>
        <v>0.87042828008157713</v>
      </c>
      <c r="V50" s="18"/>
      <c r="W50" s="18"/>
      <c r="X50" s="59"/>
      <c r="Y50" s="59"/>
      <c r="Z50" s="97"/>
      <c r="AA50" s="97"/>
      <c r="AB50" s="89"/>
      <c r="AC50" s="95">
        <v>2986.3290000000002</v>
      </c>
      <c r="AD50" s="82">
        <v>196.67689999999999</v>
      </c>
      <c r="AE50" s="81">
        <f>+AC50+AD50</f>
        <v>3183.0059000000001</v>
      </c>
      <c r="AF50" s="82">
        <v>1003.4955</v>
      </c>
      <c r="AG50" s="81">
        <f>+AE50+AF50</f>
        <v>4186.5014000000001</v>
      </c>
      <c r="AH50" s="81"/>
      <c r="AI50" s="83">
        <f>+T50-AG50</f>
        <v>961.9985999999999</v>
      </c>
      <c r="AJ50" s="82"/>
      <c r="AK50" s="81">
        <f>+AI50+AJ50</f>
        <v>961.9985999999999</v>
      </c>
      <c r="AM50" s="59">
        <f>+AC50*F50</f>
        <v>3715.6716867968466</v>
      </c>
      <c r="AN50" s="59">
        <f>+AD50*F50</f>
        <v>244.71074311536827</v>
      </c>
      <c r="AO50" s="59">
        <f>+AF50*F50</f>
        <v>1248.5763682360666</v>
      </c>
      <c r="AP50" s="59">
        <f>+T50*F50</f>
        <v>6405.9035958441154</v>
      </c>
      <c r="AS50" s="57">
        <f>+AC50/(C50/1000000)</f>
        <v>4390.5691085597846</v>
      </c>
      <c r="AT50" s="57">
        <f>+AD50/(C50/1000000)</f>
        <v>289.15887081004865</v>
      </c>
      <c r="AU50" s="57">
        <f>+AF50/(C50/1000000)</f>
        <v>1475.3620056191917</v>
      </c>
      <c r="AV50" s="57">
        <f>+T50/(C50/1000000)</f>
        <v>7569.4423003694665</v>
      </c>
      <c r="AW50" s="57"/>
      <c r="AY50" s="59">
        <f>+AM50/(C50/1000000)</f>
        <v>5462.8653860979348</v>
      </c>
      <c r="AZ50" s="59">
        <f>+AN50/(C50/1000000)</f>
        <v>359.77932413175</v>
      </c>
      <c r="BA50" s="59">
        <f>+AO50/(C50/1000000)</f>
        <v>1835.6854961576705</v>
      </c>
      <c r="BB50" s="59">
        <f>+AP50/(C50/1000000)</f>
        <v>9418.1057881851648</v>
      </c>
      <c r="BC50" s="59">
        <f>+AY50+AZ50+BA50</f>
        <v>7658.3302063873562</v>
      </c>
      <c r="BD50" s="59"/>
      <c r="BF50" s="63">
        <v>2720.7512000000002</v>
      </c>
      <c r="BG50" s="63">
        <v>117.80380000000001</v>
      </c>
      <c r="BH50" s="64">
        <v>1599.9631549999999</v>
      </c>
      <c r="BI50" s="63">
        <v>1882.0487000000001</v>
      </c>
      <c r="BJ50" s="63">
        <f>+BF50+BG50+BH50+T50</f>
        <v>9587.0181549999998</v>
      </c>
      <c r="BL50" s="63">
        <f>+BF50*F50</f>
        <v>3385.232571715489</v>
      </c>
      <c r="BM50" s="63">
        <f>+BG50*F50</f>
        <v>146.57468894320698</v>
      </c>
      <c r="BN50" s="64">
        <f>+BH50*F50</f>
        <v>1990.7176318991155</v>
      </c>
      <c r="BO50" s="63">
        <f>+BI50*F50</f>
        <v>2341.6961318604922</v>
      </c>
      <c r="BP50" s="63">
        <f>+BJ50*F50</f>
        <v>11928.428488401927</v>
      </c>
      <c r="BQ50" s="63"/>
      <c r="BR50" s="63">
        <f>+BL50/(C50/1000000)</f>
        <v>4977.0462513220818</v>
      </c>
      <c r="BS50" s="64">
        <f>+BM50/(C50/1000000)</f>
        <v>215.49745569587407</v>
      </c>
      <c r="BT50" s="63">
        <f>+BN50/(C50/1000000)</f>
        <v>2926.7985337454597</v>
      </c>
      <c r="BU50" s="63">
        <f>+BO50/(C50/1000000)</f>
        <v>3442.8151413258943</v>
      </c>
      <c r="BV50" s="63">
        <f>+BP50/(C50/1000000)</f>
        <v>17537.44802894858</v>
      </c>
      <c r="BX50" s="63">
        <f>+BR50+AY50</f>
        <v>10439.911637420017</v>
      </c>
      <c r="BY50" s="63">
        <f>+BS50+AZ50</f>
        <v>575.27677982762407</v>
      </c>
      <c r="BZ50" s="63">
        <f>+BT50+BA50</f>
        <v>4762.4840299031302</v>
      </c>
      <c r="CA50" s="63">
        <f>+BU50</f>
        <v>3442.8151413258943</v>
      </c>
      <c r="CB50" s="63">
        <f>+BV50+CA50</f>
        <v>20980.263170274473</v>
      </c>
      <c r="CC50" s="63">
        <f>+BX50+BY50+BZ50</f>
        <v>15777.67244715077</v>
      </c>
      <c r="CE50" s="63">
        <f>+CC50-BC50</f>
        <v>8119.3422407634134</v>
      </c>
    </row>
    <row r="51" spans="1:83" s="12" customFormat="1" ht="15">
      <c r="A51" s="49" t="s">
        <v>28</v>
      </c>
      <c r="B51" s="12" t="s">
        <v>26</v>
      </c>
      <c r="C51" s="27">
        <v>686818</v>
      </c>
      <c r="D51" s="26">
        <v>189.49700000000001</v>
      </c>
      <c r="E51" s="21">
        <f>+D51/D50-1</f>
        <v>4.5575682669653617E-2</v>
      </c>
      <c r="F51" s="87">
        <f>+$D$61/D51</f>
        <v>1.1899924537063911</v>
      </c>
      <c r="G51" s="92">
        <v>96.51</v>
      </c>
      <c r="H51" s="5">
        <v>81.5</v>
      </c>
      <c r="I51" s="5">
        <v>605.79999999999995</v>
      </c>
      <c r="J51" s="5">
        <v>6810.9</v>
      </c>
      <c r="K51" s="5"/>
      <c r="L51" s="5">
        <v>11.7</v>
      </c>
      <c r="M51" s="5">
        <v>2420.6</v>
      </c>
      <c r="N51" s="94">
        <v>25.5</v>
      </c>
      <c r="P51" s="91">
        <f>SUM(H51:O51)</f>
        <v>9956</v>
      </c>
      <c r="Q51" s="18">
        <f>$Q50+P51</f>
        <v>76248.45</v>
      </c>
      <c r="R51" s="5">
        <f>+T51-P51</f>
        <v>793.10000000000036</v>
      </c>
      <c r="S51" s="5"/>
      <c r="T51" s="20">
        <v>10749.1</v>
      </c>
      <c r="U51" s="96">
        <f>P51/T51</f>
        <v>0.92621707863914182</v>
      </c>
      <c r="V51" s="5"/>
      <c r="W51" s="5"/>
      <c r="X51" s="5"/>
      <c r="Y51" s="5"/>
      <c r="Z51" s="96"/>
      <c r="AA51" s="96"/>
      <c r="AB51" s="4"/>
      <c r="AC51" s="95">
        <v>3149.5749999999998</v>
      </c>
      <c r="AD51" s="82">
        <v>961.61509999999998</v>
      </c>
      <c r="AE51" s="81">
        <f>+AC51+AD51</f>
        <v>4111.1900999999998</v>
      </c>
      <c r="AF51" s="82">
        <v>1229.846</v>
      </c>
      <c r="AG51" s="81">
        <f>+AE51+AF51</f>
        <v>5341.0360999999994</v>
      </c>
      <c r="AH51" s="81"/>
      <c r="AI51" s="83">
        <f>+T51-AG51</f>
        <v>5408.063900000001</v>
      </c>
      <c r="AJ51" s="82"/>
      <c r="AK51" s="81">
        <f>+AI51+AJ51</f>
        <v>5408.063900000001</v>
      </c>
      <c r="AL51" s="50"/>
      <c r="AM51" s="59">
        <f>+AC51*F51</f>
        <v>3747.9704823823063</v>
      </c>
      <c r="AN51" s="59">
        <f>+AD51*F51</f>
        <v>1144.3147123701167</v>
      </c>
      <c r="AO51" s="59">
        <f>+AF51*F51</f>
        <v>1463.5074592209903</v>
      </c>
      <c r="AP51" s="59">
        <f>+T51*F51</f>
        <v>12791.347884135368</v>
      </c>
      <c r="AQ51" s="50"/>
      <c r="AR51" s="50"/>
      <c r="AS51" s="57">
        <f>+AC51/(C51/1000000)</f>
        <v>4585.7490630705652</v>
      </c>
      <c r="AT51" s="57">
        <f>+AD51/(C51/1000000)</f>
        <v>1400.10177368677</v>
      </c>
      <c r="AU51" s="57">
        <f>+AF51/(C51/1000000)</f>
        <v>1790.6432271722638</v>
      </c>
      <c r="AV51" s="57">
        <f>+T51/(C51/1000000)</f>
        <v>15650.579920735916</v>
      </c>
      <c r="AW51" s="57"/>
      <c r="AX51" s="50"/>
      <c r="AY51" s="59">
        <f>+AM51/(C51/1000000)</f>
        <v>5457.0067796451258</v>
      </c>
      <c r="AZ51" s="59">
        <f>+AN51/(C51/1000000)</f>
        <v>1666.1105451081896</v>
      </c>
      <c r="BA51" s="59">
        <f>+AO51/(C51/1000000)</f>
        <v>2130.851927615453</v>
      </c>
      <c r="BB51" s="59">
        <f>+AP51/(C51/1000000)</f>
        <v>18624.072001804507</v>
      </c>
      <c r="BC51" s="59">
        <f>+AY51+AZ51+BA51</f>
        <v>9253.9692523687681</v>
      </c>
      <c r="BD51" s="59"/>
      <c r="BF51" s="63">
        <v>2680.0467000000003</v>
      </c>
      <c r="BG51" s="63">
        <v>112.1973</v>
      </c>
      <c r="BH51" s="64">
        <v>1075.4858810000001</v>
      </c>
      <c r="BI51" s="63">
        <v>2101.5522999999998</v>
      </c>
      <c r="BJ51" s="63">
        <f>+BF51+BG51+BH51+T51</f>
        <v>14616.829881000001</v>
      </c>
      <c r="BL51" s="63">
        <f>+BF51*F51</f>
        <v>3189.2353485807166</v>
      </c>
      <c r="BM51" s="63">
        <f>+BG51*F51</f>
        <v>133.51394032623207</v>
      </c>
      <c r="BN51" s="64">
        <f>+BH51*F51</f>
        <v>1279.8200824577698</v>
      </c>
      <c r="BO51" s="63">
        <f>+BI51*F51</f>
        <v>2500.8313780693093</v>
      </c>
      <c r="BP51" s="63">
        <f>+BJ51*F51</f>
        <v>17393.917255500088</v>
      </c>
      <c r="BQ51" s="63"/>
      <c r="BR51" s="63">
        <f>+BL51/(C51/1000000)</f>
        <v>4643.4941259266889</v>
      </c>
      <c r="BS51" s="64">
        <f>+BM51/(C51/1000000)</f>
        <v>194.39493479529085</v>
      </c>
      <c r="BT51" s="63">
        <f>+BN51/(C51/1000000)</f>
        <v>1863.4049813164036</v>
      </c>
      <c r="BU51" s="63">
        <f>+BO51/(C51/1000000)</f>
        <v>3641.1849690446511</v>
      </c>
      <c r="BV51" s="63">
        <f>+BP51/(C51/1000000)</f>
        <v>25325.366043842892</v>
      </c>
      <c r="BX51" s="63">
        <f>+BR51+AY51</f>
        <v>10100.500905571815</v>
      </c>
      <c r="BY51" s="63">
        <f>+BS51+AZ51</f>
        <v>1860.5054799034806</v>
      </c>
      <c r="BZ51" s="63">
        <f>+BT51+BA51</f>
        <v>3994.2569089318567</v>
      </c>
      <c r="CA51" s="63">
        <f>+BU51</f>
        <v>3641.1849690446511</v>
      </c>
      <c r="CB51" s="63">
        <f>+BV51+CA51</f>
        <v>28966.551012887543</v>
      </c>
      <c r="CC51" s="63">
        <f>+BX51+BY51+BZ51</f>
        <v>15955.263294407152</v>
      </c>
      <c r="CE51" s="63">
        <f>+CC51-BC51</f>
        <v>6701.2940420383839</v>
      </c>
    </row>
    <row r="52" spans="1:83" s="12" customFormat="1" ht="15">
      <c r="A52" s="49" t="s">
        <v>27</v>
      </c>
      <c r="B52" s="12" t="s">
        <v>26</v>
      </c>
      <c r="C52" s="27">
        <v>697828</v>
      </c>
      <c r="D52" s="26">
        <v>191.744</v>
      </c>
      <c r="E52" s="21">
        <f>+D52/D51-1</f>
        <v>1.1857707509881354E-2</v>
      </c>
      <c r="F52" s="87">
        <f>+$D$61/D52</f>
        <v>1.1760472296395195</v>
      </c>
      <c r="G52" s="92">
        <v>68.34</v>
      </c>
      <c r="H52" s="5">
        <v>111.2</v>
      </c>
      <c r="I52" s="5">
        <v>492.2</v>
      </c>
      <c r="J52" s="5">
        <v>3100.9</v>
      </c>
      <c r="K52" s="5"/>
      <c r="L52" s="5">
        <v>11.1</v>
      </c>
      <c r="M52" s="5">
        <v>1451.2</v>
      </c>
      <c r="N52" s="94">
        <v>14.4</v>
      </c>
      <c r="P52" s="91">
        <f>SUM(H52:O52)</f>
        <v>5181</v>
      </c>
      <c r="Q52" s="18">
        <f>$Q51+P52</f>
        <v>81429.45</v>
      </c>
      <c r="R52" s="5">
        <f>+T52-P52</f>
        <v>650.19999999999982</v>
      </c>
      <c r="S52" s="5"/>
      <c r="T52" s="20">
        <v>5831.2</v>
      </c>
      <c r="U52" s="96">
        <f>P52/T52</f>
        <v>0.88849636438468926</v>
      </c>
      <c r="V52" s="5"/>
      <c r="W52" s="5"/>
      <c r="X52" s="5"/>
      <c r="Y52" s="5"/>
      <c r="Z52" s="96"/>
      <c r="AA52" s="96"/>
      <c r="AB52" s="4"/>
      <c r="AC52" s="95">
        <v>3361.6792999999998</v>
      </c>
      <c r="AD52" s="82">
        <v>1389.2630999999999</v>
      </c>
      <c r="AE52" s="81">
        <f>+AC52+AD52</f>
        <v>4750.9423999999999</v>
      </c>
      <c r="AF52" s="82">
        <v>764.92579999999998</v>
      </c>
      <c r="AG52" s="81">
        <f>+AE52+AF52</f>
        <v>5515.8681999999999</v>
      </c>
      <c r="AH52" s="81"/>
      <c r="AI52" s="83">
        <f>+T52-AG52</f>
        <v>315.33179999999993</v>
      </c>
      <c r="AJ52" s="82"/>
      <c r="AK52" s="81">
        <f>+AI52+AJ52</f>
        <v>315.33179999999993</v>
      </c>
      <c r="AL52" s="50"/>
      <c r="AM52" s="59">
        <f>+AC52*F52</f>
        <v>3953.493627701519</v>
      </c>
      <c r="AN52" s="59">
        <f>+AD52*F52</f>
        <v>1633.8390199954106</v>
      </c>
      <c r="AO52" s="59">
        <f>+AF52*F52</f>
        <v>899.58886796979311</v>
      </c>
      <c r="AP52" s="59">
        <f>+T52*F52</f>
        <v>6857.7666054739657</v>
      </c>
      <c r="AQ52" s="50"/>
      <c r="AR52" s="50"/>
      <c r="AS52" s="57">
        <f>+AC52/(C52/1000000)</f>
        <v>4817.3465381154092</v>
      </c>
      <c r="AT52" s="57">
        <f>+AD52/(C52/1000000)</f>
        <v>1990.8388600056173</v>
      </c>
      <c r="AU52" s="57">
        <f>+AF52/(C52/1000000)</f>
        <v>1096.152346996681</v>
      </c>
      <c r="AV52" s="57">
        <f>+T52/(C52/1000000)</f>
        <v>8356.2138521240195</v>
      </c>
      <c r="AW52" s="57"/>
      <c r="AX52" s="50"/>
      <c r="AY52" s="59">
        <f>+AM52/(C52/1000000)</f>
        <v>5665.4270503641574</v>
      </c>
      <c r="AZ52" s="59">
        <f>+AN52/(C52/1000000)</f>
        <v>2341.3205259683054</v>
      </c>
      <c r="BA52" s="59">
        <f>+AO52/(C52/1000000)</f>
        <v>1289.1269309483041</v>
      </c>
      <c r="BB52" s="59">
        <f>+AP52/(C52/1000000)</f>
        <v>9827.3021510658291</v>
      </c>
      <c r="BC52" s="59">
        <f>+AY52+AZ52+BA52</f>
        <v>9295.8745072807669</v>
      </c>
      <c r="BD52" s="59"/>
      <c r="BF52" s="63">
        <v>3053.8386</v>
      </c>
      <c r="BG52" s="63">
        <v>97.261800000000008</v>
      </c>
      <c r="BH52" s="64">
        <v>1985.2919429999999</v>
      </c>
      <c r="BI52" s="63">
        <v>2019</v>
      </c>
      <c r="BJ52" s="63">
        <f>+BF52+BG52+BH52+T52</f>
        <v>10967.592343</v>
      </c>
      <c r="BL52" s="63">
        <f>+BF52*F52</f>
        <v>3591.4584252962286</v>
      </c>
      <c r="BM52" s="63">
        <f>+BG52*F52</f>
        <v>114.38447043975303</v>
      </c>
      <c r="BN52" s="64">
        <f>+BH52*F52</f>
        <v>2334.7970895908088</v>
      </c>
      <c r="BO52" s="63">
        <f>+BI52*F52</f>
        <v>2374.43935664219</v>
      </c>
      <c r="BP52" s="63">
        <f>+BJ52*F52</f>
        <v>12898.406590800756</v>
      </c>
      <c r="BQ52" s="63"/>
      <c r="BR52" s="63">
        <f>+BL52/(C52/1000000)</f>
        <v>5146.6241327321759</v>
      </c>
      <c r="BS52" s="64">
        <f>+BM52/(C52/1000000)</f>
        <v>163.91499114359559</v>
      </c>
      <c r="BT52" s="63">
        <f>+BN52/(C52/1000000)</f>
        <v>3345.8059716589314</v>
      </c>
      <c r="BU52" s="63">
        <f>+BO52/(C52/1000000)</f>
        <v>3402.6140490811345</v>
      </c>
      <c r="BV52" s="63">
        <f>+BP52/(C52/1000000)</f>
        <v>18483.647246600533</v>
      </c>
      <c r="BX52" s="63">
        <f>+BR52+AY52</f>
        <v>10812.051183096333</v>
      </c>
      <c r="BY52" s="63">
        <f>+BS52+AZ52</f>
        <v>2505.2355171119011</v>
      </c>
      <c r="BZ52" s="63">
        <f>+BT52+BA52</f>
        <v>4634.9329026072355</v>
      </c>
      <c r="CA52" s="63">
        <f>+BU52</f>
        <v>3402.6140490811345</v>
      </c>
      <c r="CB52" s="63">
        <f>+BV52+CA52</f>
        <v>21886.261295681667</v>
      </c>
      <c r="CC52" s="63">
        <f>+BX52+BY52+BZ52</f>
        <v>17952.219602815472</v>
      </c>
      <c r="CE52" s="63">
        <f>+CC52-BC52</f>
        <v>8656.3450955347053</v>
      </c>
    </row>
    <row r="53" spans="1:83" s="16" customFormat="1" ht="15">
      <c r="A53" s="49" t="s">
        <v>25</v>
      </c>
      <c r="B53" s="16" t="s">
        <v>19</v>
      </c>
      <c r="C53" s="88">
        <v>713913</v>
      </c>
      <c r="D53" s="26">
        <v>195.14400000000001</v>
      </c>
      <c r="E53" s="21">
        <f>+D53/D52-1</f>
        <v>1.7731975967957281E-2</v>
      </c>
      <c r="F53" s="87">
        <f>+$D$61/D53</f>
        <v>1.1555569220678064</v>
      </c>
      <c r="G53" s="92">
        <v>74.900000000000006</v>
      </c>
      <c r="H53" s="5">
        <v>118.8</v>
      </c>
      <c r="I53" s="5">
        <v>446.1</v>
      </c>
      <c r="J53" s="5">
        <v>2860.7</v>
      </c>
      <c r="K53" s="18"/>
      <c r="L53" s="5">
        <v>10.3</v>
      </c>
      <c r="M53" s="5">
        <v>1469</v>
      </c>
      <c r="N53" s="94">
        <v>8</v>
      </c>
      <c r="P53" s="91">
        <f>SUM(H53:O53)</f>
        <v>4912.8999999999996</v>
      </c>
      <c r="Q53" s="18">
        <f>$Q52+P53</f>
        <v>86342.349999999991</v>
      </c>
      <c r="R53" s="5">
        <f>+T53-P53</f>
        <v>600.40000000000055</v>
      </c>
      <c r="S53" s="5"/>
      <c r="T53" s="20">
        <v>5513.3</v>
      </c>
      <c r="U53" s="45">
        <f>P53/T53</f>
        <v>0.89109970435129582</v>
      </c>
      <c r="V53" s="18"/>
      <c r="W53" s="18"/>
      <c r="X53" s="18"/>
      <c r="Y53" s="18"/>
      <c r="Z53" s="45"/>
      <c r="AA53" s="45"/>
      <c r="AB53" s="89"/>
      <c r="AC53" s="95">
        <v>3506.5583999999999</v>
      </c>
      <c r="AD53" s="82">
        <v>771.01409999999998</v>
      </c>
      <c r="AE53" s="81">
        <f>+AC53+AD53</f>
        <v>4277.5725000000002</v>
      </c>
      <c r="AF53" s="82">
        <v>818.03530000000001</v>
      </c>
      <c r="AG53" s="81">
        <f>+AE53+AF53</f>
        <v>5095.6077999999998</v>
      </c>
      <c r="AH53" s="81"/>
      <c r="AI53" s="83">
        <f>+T53-AG53</f>
        <v>417.69220000000041</v>
      </c>
      <c r="AJ53" s="82"/>
      <c r="AK53" s="81">
        <f>+AI53+AJ53</f>
        <v>417.69220000000041</v>
      </c>
      <c r="AL53" s="50"/>
      <c r="AM53" s="59">
        <f>+AC53*F53</f>
        <v>4052.0278317550114</v>
      </c>
      <c r="AN53" s="59">
        <f>+AD53*F53</f>
        <v>890.95068026687989</v>
      </c>
      <c r="AO53" s="59">
        <f>+AF53*F53</f>
        <v>945.28635341081463</v>
      </c>
      <c r="AP53" s="59">
        <f>+T53*F53</f>
        <v>6370.931978436437</v>
      </c>
      <c r="AQ53" s="50"/>
      <c r="AR53" s="50"/>
      <c r="AS53" s="57">
        <f>+AC53/(C53/1000000)</f>
        <v>4911.7447083888374</v>
      </c>
      <c r="AT53" s="57">
        <f>+AD53/(C53/1000000)</f>
        <v>1079.9832752730374</v>
      </c>
      <c r="AU53" s="57">
        <f>+AF53/(C53/1000000)</f>
        <v>1145.8473231332109</v>
      </c>
      <c r="AV53" s="57">
        <f>+T53/(C53/1000000)</f>
        <v>7722.6496786022944</v>
      </c>
      <c r="AW53" s="57"/>
      <c r="AX53" s="50"/>
      <c r="AY53" s="59">
        <f>+AM53/(C53/1000000)</f>
        <v>5675.8005972086394</v>
      </c>
      <c r="AZ53" s="59">
        <f>+AN53/(C53/1000000)</f>
        <v>1247.9821494592197</v>
      </c>
      <c r="BA53" s="59">
        <f>+AO53/(C53/1000000)</f>
        <v>1324.0918058794484</v>
      </c>
      <c r="BB53" s="59">
        <f>+AP53/(C53/1000000)</f>
        <v>8923.9612928136012</v>
      </c>
      <c r="BC53" s="59">
        <f>+AY53+AZ53+BA53</f>
        <v>8247.8745525473078</v>
      </c>
      <c r="BD53" s="59"/>
      <c r="BF53" s="63">
        <v>3006.9402999999998</v>
      </c>
      <c r="BG53" s="63">
        <v>109.2482</v>
      </c>
      <c r="BH53" s="64">
        <v>1335.35437</v>
      </c>
      <c r="BI53" s="63">
        <v>858.06590000000006</v>
      </c>
      <c r="BJ53" s="63">
        <f>+BF53+BG53+BH53+T53</f>
        <v>9964.8428700000004</v>
      </c>
      <c r="BL53" s="63">
        <f>+BF53*F53</f>
        <v>3474.6906779096462</v>
      </c>
      <c r="BM53" s="63">
        <f>+BG53*F53</f>
        <v>126.24251373344812</v>
      </c>
      <c r="BN53" s="64">
        <f>+BH53*F53</f>
        <v>1543.0779856669947</v>
      </c>
      <c r="BO53" s="63">
        <f>+BI53*F53</f>
        <v>991.54399033534219</v>
      </c>
      <c r="BP53" s="63">
        <f>+BJ53*F53</f>
        <v>11514.943155746527</v>
      </c>
      <c r="BQ53" s="63"/>
      <c r="BR53" s="63">
        <f>+BL53/(C53/1000000)</f>
        <v>4867.1066053001505</v>
      </c>
      <c r="BS53" s="64">
        <f>+BM53/(C53/1000000)</f>
        <v>176.83179005487801</v>
      </c>
      <c r="BT53" s="63">
        <f>+BN53/(C53/1000000)</f>
        <v>2161.4370177696646</v>
      </c>
      <c r="BU53" s="63">
        <f>+BO53/(C53/1000000)</f>
        <v>1388.8863073446514</v>
      </c>
      <c r="BV53" s="63">
        <f>+BP53/(C53/1000000)</f>
        <v>16129.336705938296</v>
      </c>
      <c r="BX53" s="63">
        <f>+BR53+AY53</f>
        <v>10542.90720250879</v>
      </c>
      <c r="BY53" s="63">
        <f>+BS53+AZ53</f>
        <v>1424.8139395140977</v>
      </c>
      <c r="BZ53" s="63">
        <f>+BT53+BA53</f>
        <v>3485.5288236491133</v>
      </c>
      <c r="CA53" s="63">
        <f>+BU53</f>
        <v>1388.8863073446514</v>
      </c>
      <c r="CB53" s="63">
        <f>+BV53+CA53</f>
        <v>17518.223013282946</v>
      </c>
      <c r="CC53" s="63">
        <f>+BX53+BY53+BZ53</f>
        <v>15453.249965671999</v>
      </c>
      <c r="CE53" s="63">
        <f>+CC53-BC53</f>
        <v>7205.3754131246915</v>
      </c>
    </row>
    <row r="54" spans="1:83" s="12" customFormat="1" ht="15">
      <c r="A54" s="49" t="s">
        <v>24</v>
      </c>
      <c r="B54" s="12" t="s">
        <v>19</v>
      </c>
      <c r="C54" s="88">
        <v>722262</v>
      </c>
      <c r="D54" s="26">
        <v>201.42699999999999</v>
      </c>
      <c r="E54" s="21">
        <f>+D54/D53-1</f>
        <v>3.2196736768745016E-2</v>
      </c>
      <c r="F54" s="87">
        <f>+$D$61/D54</f>
        <v>1.1195122798830346</v>
      </c>
      <c r="G54" s="92">
        <v>94.49</v>
      </c>
      <c r="H54" s="5">
        <v>110.6</v>
      </c>
      <c r="I54" s="5">
        <v>542.1</v>
      </c>
      <c r="J54" s="5">
        <v>4543.2</v>
      </c>
      <c r="K54" s="5"/>
      <c r="L54" s="5">
        <v>9.6999999999999993</v>
      </c>
      <c r="M54" s="5">
        <v>1821.3</v>
      </c>
      <c r="N54" s="94">
        <v>22</v>
      </c>
      <c r="P54" s="91">
        <f>SUM(H54:O54)</f>
        <v>7048.9</v>
      </c>
      <c r="Q54" s="18">
        <f>$Q53+P54</f>
        <v>93391.249999999985</v>
      </c>
      <c r="R54" s="5">
        <f>+T54-P54</f>
        <v>624</v>
      </c>
      <c r="S54" s="5"/>
      <c r="T54" s="20">
        <v>7672.9</v>
      </c>
      <c r="U54" s="45">
        <f>P54/T54</f>
        <v>0.91867481656218641</v>
      </c>
      <c r="V54" s="18"/>
      <c r="W54" s="18"/>
      <c r="X54" s="18"/>
      <c r="Y54" s="18"/>
      <c r="Z54" s="45"/>
      <c r="AA54" s="45"/>
      <c r="AB54" s="4"/>
      <c r="AC54" s="95">
        <v>3813.1082000000001</v>
      </c>
      <c r="AD54" s="82">
        <v>1052.0849000000001</v>
      </c>
      <c r="AE54" s="81">
        <f>+AC54+AD54</f>
        <v>4865.1931000000004</v>
      </c>
      <c r="AF54" s="82">
        <v>614.55640000000005</v>
      </c>
      <c r="AG54" s="81">
        <f>+AE54+AF54</f>
        <v>5479.7495000000008</v>
      </c>
      <c r="AH54" s="81"/>
      <c r="AI54" s="83">
        <f>+T54-AG54</f>
        <v>2193.1504999999988</v>
      </c>
      <c r="AJ54" s="82"/>
      <c r="AK54" s="81">
        <f>+AI54+AJ54</f>
        <v>2193.1504999999988</v>
      </c>
      <c r="AL54" s="50"/>
      <c r="AM54" s="59">
        <f>+AC54*F54</f>
        <v>4268.8214544226939</v>
      </c>
      <c r="AN54" s="59">
        <f>+AD54*F54</f>
        <v>1177.8219650295146</v>
      </c>
      <c r="AO54" s="59">
        <f>+AF54*F54</f>
        <v>688.00343648071021</v>
      </c>
      <c r="AP54" s="59">
        <f>+T54*F54</f>
        <v>8589.9057723145361</v>
      </c>
      <c r="AQ54" s="50"/>
      <c r="AR54" s="50"/>
      <c r="AS54" s="57">
        <f>+AC54/(C54/1000000)</f>
        <v>5279.3975039528596</v>
      </c>
      <c r="AT54" s="57">
        <f>+AD54/(C54/1000000)</f>
        <v>1456.652710512252</v>
      </c>
      <c r="AU54" s="57">
        <f>+AF54/(C54/1000000)</f>
        <v>850.87738244570539</v>
      </c>
      <c r="AV54" s="57">
        <f>+T54/(C54/1000000)</f>
        <v>10623.430278763108</v>
      </c>
      <c r="AW54" s="57"/>
      <c r="AX54" s="50"/>
      <c r="AY54" s="59">
        <f>+AM54/(C54/1000000)</f>
        <v>5910.3503360590676</v>
      </c>
      <c r="AZ54" s="59">
        <f>+AN54/(C54/1000000)</f>
        <v>1630.7405969433732</v>
      </c>
      <c r="BA54" s="59">
        <f>+AO54/(C54/1000000)</f>
        <v>952.56767832270043</v>
      </c>
      <c r="BB54" s="59">
        <f>+AP54/(C54/1000000)</f>
        <v>11893.060651556549</v>
      </c>
      <c r="BC54" s="59">
        <f>+AY54+AZ54+BA54</f>
        <v>8493.6586113251415</v>
      </c>
      <c r="BD54" s="59"/>
      <c r="BF54" s="63">
        <v>3185.1832999999997</v>
      </c>
      <c r="BG54" s="63">
        <v>127.48139999999999</v>
      </c>
      <c r="BH54" s="64">
        <v>1205.9010290000001</v>
      </c>
      <c r="BI54" s="63">
        <v>1334</v>
      </c>
      <c r="BJ54" s="63">
        <f>+BF54+BG54+BH54+T54</f>
        <v>12191.465729</v>
      </c>
      <c r="BL54" s="63">
        <f>+BF54*F54</f>
        <v>3565.8518180283672</v>
      </c>
      <c r="BM54" s="63">
        <f>+BG54*F54</f>
        <v>142.71699275668107</v>
      </c>
      <c r="BN54" s="64">
        <f>+BH54*F54</f>
        <v>1350.0210102890876</v>
      </c>
      <c r="BO54" s="63">
        <f>+BI54*F54</f>
        <v>1493.4293813639681</v>
      </c>
      <c r="BP54" s="63">
        <f>+BJ54*F54</f>
        <v>13648.495593388672</v>
      </c>
      <c r="BQ54" s="63"/>
      <c r="BR54" s="63">
        <f>+BL54/(C54/1000000)</f>
        <v>4937.0613683516058</v>
      </c>
      <c r="BS54" s="64">
        <f>+BM54/(C54/1000000)</f>
        <v>197.59726076781152</v>
      </c>
      <c r="BT54" s="63">
        <f>+BN54/(C54/1000000)</f>
        <v>1869.1569129887598</v>
      </c>
      <c r="BU54" s="63">
        <f>+BO54/(C54/1000000)</f>
        <v>2067.7114140906874</v>
      </c>
      <c r="BV54" s="63">
        <f>+BP54/(C54/1000000)</f>
        <v>18896.876193664728</v>
      </c>
      <c r="BX54" s="63">
        <f>+BR54+AY54</f>
        <v>10847.411704410673</v>
      </c>
      <c r="BY54" s="63">
        <f>+BS54+AZ54</f>
        <v>1828.3378577111848</v>
      </c>
      <c r="BZ54" s="63">
        <f>+BT54+BA54</f>
        <v>2821.7245913114602</v>
      </c>
      <c r="CA54" s="63">
        <f>+BU54</f>
        <v>2067.7114140906874</v>
      </c>
      <c r="CB54" s="63">
        <f>+BV54+CA54</f>
        <v>20964.587607755417</v>
      </c>
      <c r="CC54" s="63">
        <f>+BX54+BY54+BZ54</f>
        <v>15497.474153433319</v>
      </c>
      <c r="CE54" s="63">
        <f>+CC54-BC54</f>
        <v>7003.8155421081774</v>
      </c>
    </row>
    <row r="55" spans="1:83" s="50" customFormat="1" ht="15">
      <c r="A55" s="49" t="s">
        <v>23</v>
      </c>
      <c r="B55" s="16" t="s">
        <v>19</v>
      </c>
      <c r="C55" s="88">
        <v>730649</v>
      </c>
      <c r="D55" s="26">
        <v>205.916</v>
      </c>
      <c r="E55" s="21">
        <f>+D55/D54-1</f>
        <v>2.2285989465166134E-2</v>
      </c>
      <c r="F55" s="87">
        <f>+$D$61/D55</f>
        <v>1.0951067425552168</v>
      </c>
      <c r="G55" s="92">
        <v>112.65</v>
      </c>
      <c r="H55" s="5">
        <v>111.2</v>
      </c>
      <c r="I55" s="5">
        <v>568.79999999999995</v>
      </c>
      <c r="J55" s="5">
        <v>6136.7</v>
      </c>
      <c r="K55" s="18"/>
      <c r="L55" s="5">
        <v>9.4</v>
      </c>
      <c r="M55" s="5">
        <v>2022.8</v>
      </c>
      <c r="N55" s="94">
        <v>8.9</v>
      </c>
      <c r="O55" s="16"/>
      <c r="P55" s="91">
        <f>SUM(H55:O55)</f>
        <v>8857.7999999999993</v>
      </c>
      <c r="Q55" s="18">
        <f>$Q54+P55</f>
        <v>102249.04999999999</v>
      </c>
      <c r="R55" s="18">
        <f>+T55-P55</f>
        <v>627.40000000000146</v>
      </c>
      <c r="S55" s="18"/>
      <c r="T55" s="20">
        <v>9485.2000000000007</v>
      </c>
      <c r="U55" s="45">
        <f>P55/T55</f>
        <v>0.93385484755197556</v>
      </c>
      <c r="V55" s="18"/>
      <c r="W55" s="18"/>
      <c r="X55" s="18"/>
      <c r="Y55" s="18"/>
      <c r="Z55" s="45"/>
      <c r="AA55" s="45"/>
      <c r="AB55" s="89"/>
      <c r="AC55" s="95">
        <v>4146.3180000000002</v>
      </c>
      <c r="AD55" s="82">
        <v>1249.5999999999999</v>
      </c>
      <c r="AE55" s="81">
        <f>+AC55+AD55</f>
        <v>5395.9179999999997</v>
      </c>
      <c r="AF55" s="82">
        <v>1616.7577000000001</v>
      </c>
      <c r="AG55" s="81">
        <f>+AE55+AF55</f>
        <v>7012.6756999999998</v>
      </c>
      <c r="AH55" s="81"/>
      <c r="AI55" s="83">
        <f>+T55-AG55</f>
        <v>2472.5243000000009</v>
      </c>
      <c r="AJ55" s="82"/>
      <c r="AK55" s="81">
        <f>+AI55+AJ55</f>
        <v>2472.5243000000009</v>
      </c>
      <c r="AM55" s="59">
        <f>+AC55*F55</f>
        <v>4540.660798578062</v>
      </c>
      <c r="AN55" s="59">
        <f>+AD55*F55</f>
        <v>1368.4453854969988</v>
      </c>
      <c r="AO55" s="59">
        <f>+AF55*F55</f>
        <v>1770.5222583480645</v>
      </c>
      <c r="AP55" s="59">
        <f>+T55*F55</f>
        <v>10387.306474484743</v>
      </c>
      <c r="AS55" s="57">
        <f>+AC55/(C55/1000000)</f>
        <v>5674.8425030349736</v>
      </c>
      <c r="AT55" s="57">
        <f>+AD55/(C55/1000000)</f>
        <v>1710.2603301995896</v>
      </c>
      <c r="AU55" s="57">
        <f>+AF55/(C55/1000000)</f>
        <v>2212.769332470174</v>
      </c>
      <c r="AV55" s="57">
        <f>+T55/(C55/1000000)</f>
        <v>12981.883229840869</v>
      </c>
      <c r="AW55" s="57"/>
      <c r="AY55" s="59">
        <f>+AM55/(C55/1000000)</f>
        <v>6214.558288012523</v>
      </c>
      <c r="AZ55" s="59">
        <f>+AN55/(C55/1000000)</f>
        <v>1872.917619126282</v>
      </c>
      <c r="BA55" s="59">
        <f>+AO55/(C55/1000000)</f>
        <v>2423.2186157074934</v>
      </c>
      <c r="BB55" s="59">
        <f>+AP55/(C55/1000000)</f>
        <v>14216.547856063231</v>
      </c>
      <c r="BC55" s="59">
        <f>+AY55+AZ55+BA55</f>
        <v>10510.694522846299</v>
      </c>
      <c r="BD55" s="59"/>
      <c r="BF55" s="63">
        <v>3087.9551000000001</v>
      </c>
      <c r="BG55" s="63">
        <v>113.17269999999999</v>
      </c>
      <c r="BH55" s="64">
        <v>1195.967744</v>
      </c>
      <c r="BI55" s="63">
        <v>1726</v>
      </c>
      <c r="BJ55" s="63">
        <f>+BF55+BG55+BH55+T55</f>
        <v>13882.295544000001</v>
      </c>
      <c r="BL55" s="63">
        <f>+BF55*F55</f>
        <v>3381.640450717769</v>
      </c>
      <c r="BM55" s="63">
        <f>+BG55*F55</f>
        <v>123.93618684317877</v>
      </c>
      <c r="BN55" s="64">
        <f>+BH55*F55</f>
        <v>1309.7123403329515</v>
      </c>
      <c r="BO55" s="63">
        <f>+BI55*F55</f>
        <v>1890.1542376503041</v>
      </c>
      <c r="BP55" s="63">
        <f>+BJ55*F55</f>
        <v>15202.595452378642</v>
      </c>
      <c r="BQ55" s="63"/>
      <c r="BR55" s="63">
        <f>+BL55/(C55/1000000)</f>
        <v>4628.2694573150293</v>
      </c>
      <c r="BS55" s="64">
        <f>+BM55/(C55/1000000)</f>
        <v>169.62479500167493</v>
      </c>
      <c r="BT55" s="63">
        <f>+BN55/(C55/1000000)</f>
        <v>1792.5328582300824</v>
      </c>
      <c r="BU55" s="63">
        <f>+BO55/(C55/1000000)</f>
        <v>2586.95247328102</v>
      </c>
      <c r="BV55" s="63">
        <f>+BP55/(C55/1000000)</f>
        <v>20806.974966610018</v>
      </c>
      <c r="BX55" s="63">
        <f>+BR55+AY55</f>
        <v>10842.827745327551</v>
      </c>
      <c r="BY55" s="63">
        <f>+BS55+AZ55</f>
        <v>2042.542414127957</v>
      </c>
      <c r="BZ55" s="63">
        <f>+BT55+BA55</f>
        <v>4215.7514739375756</v>
      </c>
      <c r="CA55" s="63">
        <f>+BU55</f>
        <v>2586.95247328102</v>
      </c>
      <c r="CB55" s="63">
        <f>+BV55+CA55</f>
        <v>23393.927439891038</v>
      </c>
      <c r="CC55" s="63">
        <f>+BX55+BY55+BZ55</f>
        <v>17101.121633393082</v>
      </c>
      <c r="CE55" s="63">
        <f>+CC55-BC55</f>
        <v>6590.4271105467833</v>
      </c>
    </row>
    <row r="56" spans="1:83" s="50" customFormat="1" ht="15">
      <c r="A56" s="49" t="s">
        <v>22</v>
      </c>
      <c r="B56" s="16" t="s">
        <v>19</v>
      </c>
      <c r="C56" s="88">
        <v>736077</v>
      </c>
      <c r="D56" s="26">
        <v>212.381</v>
      </c>
      <c r="E56" s="21">
        <f>+D56/D55-1</f>
        <v>3.1396297519376892E-2</v>
      </c>
      <c r="F56" s="87">
        <f>+$D$61/D56</f>
        <v>1.0617710623831698</v>
      </c>
      <c r="G56" s="92">
        <v>107.57</v>
      </c>
      <c r="H56" s="5">
        <v>99.3</v>
      </c>
      <c r="I56" s="5">
        <v>434.6</v>
      </c>
      <c r="J56" s="5">
        <v>4042.5</v>
      </c>
      <c r="K56" s="18"/>
      <c r="L56" s="5">
        <v>7.8</v>
      </c>
      <c r="M56" s="5">
        <v>1748.4</v>
      </c>
      <c r="N56" s="94">
        <v>19.399999999999999</v>
      </c>
      <c r="O56" s="18"/>
      <c r="P56" s="91">
        <f>SUM(H56:O56)</f>
        <v>6352</v>
      </c>
      <c r="Q56" s="18">
        <f>$Q55+P56</f>
        <v>108601.04999999999</v>
      </c>
      <c r="R56" s="16">
        <v>576.5</v>
      </c>
      <c r="S56" s="16"/>
      <c r="T56" s="20">
        <f>+P56+R56+S56</f>
        <v>6928.5</v>
      </c>
      <c r="U56" s="45">
        <f>P56/T56</f>
        <v>0.91679295662841886</v>
      </c>
      <c r="V56" s="18"/>
      <c r="W56" s="18"/>
      <c r="X56" s="18"/>
      <c r="Y56" s="18"/>
      <c r="Z56" s="45"/>
      <c r="AA56" s="45"/>
      <c r="AB56" s="89"/>
      <c r="AC56" s="82">
        <v>4308.3</v>
      </c>
      <c r="AD56" s="82">
        <v>1402.9</v>
      </c>
      <c r="AE56" s="81">
        <f>+AC56+AD56</f>
        <v>5711.2000000000007</v>
      </c>
      <c r="AF56" s="82">
        <v>2071.5</v>
      </c>
      <c r="AG56" s="81">
        <f>+AE56+AF56</f>
        <v>7782.7000000000007</v>
      </c>
      <c r="AH56" s="81"/>
      <c r="AI56" s="83">
        <v>187.1</v>
      </c>
      <c r="AJ56" s="82">
        <f>+T56-AG56-AI56</f>
        <v>-1041.3000000000006</v>
      </c>
      <c r="AK56" s="81">
        <f>+AI56+AJ56</f>
        <v>-854.20000000000061</v>
      </c>
      <c r="AM56" s="59">
        <f>+AC56*F56</f>
        <v>4574.4282680654105</v>
      </c>
      <c r="AN56" s="59">
        <f>+AD56*F56</f>
        <v>1489.5586234173491</v>
      </c>
      <c r="AO56" s="59">
        <f>+AF56*F56</f>
        <v>2199.4587557267359</v>
      </c>
      <c r="AP56" s="59">
        <f>+T56*F56</f>
        <v>7356.4808057217915</v>
      </c>
      <c r="AS56" s="57">
        <f>+AC56/(C56/1000000)</f>
        <v>5853.05613407293</v>
      </c>
      <c r="AT56" s="57">
        <f>+AD56/(C56/1000000)</f>
        <v>1905.9147344639218</v>
      </c>
      <c r="AU56" s="57">
        <f>+AF56/(C56/1000000)</f>
        <v>2814.2436185344741</v>
      </c>
      <c r="AV56" s="57">
        <f>+T56/(C56/1000000)</f>
        <v>9412.7380695226184</v>
      </c>
      <c r="AW56" s="57"/>
      <c r="AY56" s="59">
        <f>+AM56/(C56/1000000)</f>
        <v>6214.605629662944</v>
      </c>
      <c r="AZ56" s="59">
        <f>+AN56/(C56/1000000)</f>
        <v>2023.6451124234952</v>
      </c>
      <c r="BA56" s="59">
        <f>+AO56/(C56/1000000)</f>
        <v>2988.0824366564043</v>
      </c>
      <c r="BB56" s="59">
        <f>+AP56/(C56/1000000)</f>
        <v>9994.1729000115356</v>
      </c>
      <c r="BC56" s="59">
        <f>+AY56+AZ56+BA56</f>
        <v>11226.333178742843</v>
      </c>
      <c r="BD56" s="59"/>
      <c r="BF56" s="63">
        <v>3117.2636000000002</v>
      </c>
      <c r="BG56" s="63">
        <v>105.32010000000001</v>
      </c>
      <c r="BH56" s="64">
        <v>1077.5456029999998</v>
      </c>
      <c r="BI56" s="63">
        <v>1211</v>
      </c>
      <c r="BJ56" s="63">
        <f>+BF56+BG56+BH56+T56</f>
        <v>11228.629303</v>
      </c>
      <c r="BL56" s="63">
        <f>+BF56*F56</f>
        <v>3309.8202843003846</v>
      </c>
      <c r="BM56" s="63">
        <f>+BG56*F56</f>
        <v>111.82583446730169</v>
      </c>
      <c r="BN56" s="64">
        <f>+BH56*F56</f>
        <v>1144.1067396636231</v>
      </c>
      <c r="BO56" s="63">
        <f>+BI56*F56</f>
        <v>1285.8047565460186</v>
      </c>
      <c r="BP56" s="63">
        <f>+BJ56*F56</f>
        <v>11922.2336641531</v>
      </c>
      <c r="BQ56" s="63"/>
      <c r="BR56" s="63">
        <f>+BL56/(C56/1000000)</f>
        <v>4496.568000766747</v>
      </c>
      <c r="BS56" s="64">
        <f>+BM56/(C56/1000000)</f>
        <v>151.92138114260015</v>
      </c>
      <c r="BT56" s="63">
        <f>+BN56/(C56/1000000)</f>
        <v>1554.3302394499804</v>
      </c>
      <c r="BU56" s="63">
        <f>+BO56/(C56/1000000)</f>
        <v>1746.8345791894308</v>
      </c>
      <c r="BV56" s="63">
        <f>+BP56/(C56/1000000)</f>
        <v>16196.992521370863</v>
      </c>
      <c r="BX56" s="63">
        <f>+BR56+AY56</f>
        <v>10711.17363042969</v>
      </c>
      <c r="BY56" s="63">
        <f>+BS56+AZ56</f>
        <v>2175.5664935660952</v>
      </c>
      <c r="BZ56" s="63">
        <f>+BT56+BA56</f>
        <v>4542.4126761063844</v>
      </c>
      <c r="CA56" s="63">
        <f>+BU56</f>
        <v>1746.8345791894308</v>
      </c>
      <c r="CB56" s="63">
        <f>+BV56+CA56</f>
        <v>17943.827100560295</v>
      </c>
      <c r="CC56" s="63">
        <f>+BX56+BY56+BZ56</f>
        <v>17429.152800102169</v>
      </c>
      <c r="CE56" s="63">
        <f>+CC56-BC56</f>
        <v>6202.8196213593255</v>
      </c>
    </row>
    <row r="57" spans="1:83" s="50" customFormat="1" ht="15">
      <c r="A57" s="49" t="s">
        <v>21</v>
      </c>
      <c r="B57" s="16" t="s">
        <v>19</v>
      </c>
      <c r="C57" s="88">
        <v>736416</v>
      </c>
      <c r="D57" s="26">
        <v>215.8</v>
      </c>
      <c r="E57" s="21">
        <f>+D57/D56-1</f>
        <v>1.609842688376073E-2</v>
      </c>
      <c r="F57" s="87">
        <f>+$D$61/D57</f>
        <v>1.0449490268767376</v>
      </c>
      <c r="G57" s="92">
        <v>107.57</v>
      </c>
      <c r="H57" s="5">
        <v>128.1</v>
      </c>
      <c r="I57" s="5">
        <v>307.60000000000002</v>
      </c>
      <c r="J57" s="5">
        <v>2605.9</v>
      </c>
      <c r="K57" s="18"/>
      <c r="L57" s="5">
        <v>8.8000000000000007</v>
      </c>
      <c r="M57" s="5">
        <v>1685</v>
      </c>
      <c r="N57" s="18">
        <v>27.4</v>
      </c>
      <c r="O57" s="18"/>
      <c r="P57" s="91">
        <f>SUM(H57:O57)</f>
        <v>4762.8</v>
      </c>
      <c r="Q57" s="18">
        <f>$Q56+P57</f>
        <v>113363.84999999999</v>
      </c>
      <c r="R57" s="16">
        <v>627.29999999999995</v>
      </c>
      <c r="S57" s="16"/>
      <c r="T57" s="20">
        <f>+P57+R57+S57</f>
        <v>5390.1</v>
      </c>
      <c r="U57" s="45">
        <f>P57/T57</f>
        <v>0.883619969944899</v>
      </c>
      <c r="V57" s="18"/>
      <c r="W57" s="18"/>
      <c r="X57" s="18"/>
      <c r="Y57" s="18"/>
      <c r="Z57" s="45"/>
      <c r="AA57" s="45"/>
      <c r="AB57" s="89"/>
      <c r="AC57" s="82">
        <v>4394.2</v>
      </c>
      <c r="AD57" s="82">
        <v>2044.6</v>
      </c>
      <c r="AE57" s="81">
        <f>+AC57+AD57</f>
        <v>6438.7999999999993</v>
      </c>
      <c r="AF57" s="82">
        <v>880.4</v>
      </c>
      <c r="AG57" s="81">
        <f>+AE57+AF57</f>
        <v>7319.1999999999989</v>
      </c>
      <c r="AH57" s="81"/>
      <c r="AI57" s="83">
        <v>-266.3</v>
      </c>
      <c r="AJ57" s="82">
        <f>+T57-AG57-AI57</f>
        <v>-1662.7999999999986</v>
      </c>
      <c r="AK57" s="81">
        <f>+AI57+AJ57</f>
        <v>-1929.0999999999985</v>
      </c>
      <c r="AL57" s="93"/>
      <c r="AM57" s="59">
        <f>+AC57*F57</f>
        <v>4591.7150139017604</v>
      </c>
      <c r="AN57" s="59">
        <f>+AD57*F57</f>
        <v>2136.5027803521775</v>
      </c>
      <c r="AO57" s="59">
        <f>+AF57*F57</f>
        <v>919.97312326227984</v>
      </c>
      <c r="AP57" s="59">
        <f>+T57*F57</f>
        <v>5632.3797497683036</v>
      </c>
      <c r="AS57" s="57">
        <f>+AC57/(C57/1000000)</f>
        <v>5967.0077782123144</v>
      </c>
      <c r="AT57" s="57">
        <f>+AD57/(C57/1000000)</f>
        <v>2776.4198496501976</v>
      </c>
      <c r="AU57" s="57">
        <f>+AF57/(C57/1000000)</f>
        <v>1195.519923521488</v>
      </c>
      <c r="AV57" s="57">
        <f>+T57/(C57/1000000)</f>
        <v>7319.3684004693005</v>
      </c>
      <c r="AW57" s="57"/>
      <c r="AY57" s="59">
        <f>+AM57/(C57/1000000)</f>
        <v>6235.218971208883</v>
      </c>
      <c r="AZ57" s="59">
        <f>+AN57/(C57/1000000)</f>
        <v>2901.2172200932323</v>
      </c>
      <c r="BA57" s="59">
        <f>+AO57/(C57/1000000)</f>
        <v>1249.2573806955306</v>
      </c>
      <c r="BB57" s="59">
        <f>+AP57/(C57/1000000)</f>
        <v>7648.3668874227387</v>
      </c>
      <c r="BC57" s="59">
        <f>+AY57+AZ57+BA57</f>
        <v>10385.693571997646</v>
      </c>
      <c r="BD57" s="59"/>
      <c r="BF57" s="63">
        <v>3154.6997000000001</v>
      </c>
      <c r="BG57" s="63">
        <v>146.1807</v>
      </c>
      <c r="BH57" s="64">
        <v>1112.4898680000001</v>
      </c>
      <c r="BI57" s="63">
        <v>2004</v>
      </c>
      <c r="BJ57" s="63">
        <f>+BF57+BG57+BH57+T57</f>
        <v>9803.4702680000009</v>
      </c>
      <c r="BL57" s="63">
        <f>+BF57*F57</f>
        <v>3296.5003816033363</v>
      </c>
      <c r="BM57" s="63">
        <f>+BG57*F57</f>
        <v>152.75138021316033</v>
      </c>
      <c r="BN57" s="64">
        <f>+BH57*F57</f>
        <v>1162.4952049768303</v>
      </c>
      <c r="BO57" s="63">
        <f>+BI57*F57</f>
        <v>2094.077849860982</v>
      </c>
      <c r="BP57" s="63">
        <f>+BJ57*F57</f>
        <v>10244.126716561632</v>
      </c>
      <c r="BQ57" s="63"/>
      <c r="BR57" s="63">
        <f>+BL57/(C57/1000000)</f>
        <v>4476.4105907575831</v>
      </c>
      <c r="BS57" s="64">
        <f>+BM57/(C57/1000000)</f>
        <v>207.42539571812716</v>
      </c>
      <c r="BT57" s="63">
        <f>+BN57/(C57/1000000)</f>
        <v>1578.5849370149895</v>
      </c>
      <c r="BU57" s="63">
        <f>+BO57/(C57/1000000)</f>
        <v>2843.6072136686089</v>
      </c>
      <c r="BV57" s="63">
        <f>+BP57/(C57/1000000)</f>
        <v>13910.78781091344</v>
      </c>
      <c r="BX57" s="63">
        <f>+BR57+AY57</f>
        <v>10711.629561966467</v>
      </c>
      <c r="BY57" s="63">
        <f>+BS57+AZ57</f>
        <v>3108.6426158113595</v>
      </c>
      <c r="BZ57" s="63">
        <f>+BT57+BA57</f>
        <v>2827.8423177105201</v>
      </c>
      <c r="CA57" s="63">
        <f>+BU57</f>
        <v>2843.6072136686089</v>
      </c>
      <c r="CB57" s="63">
        <f>+BV57+CA57</f>
        <v>16754.395024582049</v>
      </c>
      <c r="CC57" s="63">
        <f>+BX57+BY57+BZ57</f>
        <v>16648.114495488346</v>
      </c>
      <c r="CE57" s="63">
        <f>+CC57-BC57</f>
        <v>6262.4209234906994</v>
      </c>
    </row>
    <row r="58" spans="1:83" s="50" customFormat="1" ht="15">
      <c r="A58" s="49" t="s">
        <v>20</v>
      </c>
      <c r="B58" s="16" t="s">
        <v>19</v>
      </c>
      <c r="C58" s="88">
        <v>736989</v>
      </c>
      <c r="D58" s="26">
        <v>216.9</v>
      </c>
      <c r="E58" s="21">
        <f>+D58/D57-1</f>
        <v>5.0973123262278985E-3</v>
      </c>
      <c r="F58" s="87">
        <f>+$D$61/D58</f>
        <v>1.0396496081143385</v>
      </c>
      <c r="G58" s="92">
        <v>72.58</v>
      </c>
      <c r="H58" s="5">
        <v>125.2</v>
      </c>
      <c r="I58" s="5">
        <v>94.8</v>
      </c>
      <c r="J58" s="5">
        <v>381.6</v>
      </c>
      <c r="K58" s="18"/>
      <c r="L58" s="5">
        <v>8.1</v>
      </c>
      <c r="M58" s="5">
        <v>1052</v>
      </c>
      <c r="N58" s="18">
        <v>26.1</v>
      </c>
      <c r="O58" s="18"/>
      <c r="P58" s="91">
        <f>SUM(H58:O58)</f>
        <v>1687.8</v>
      </c>
      <c r="Q58" s="18">
        <f>$Q57+P58</f>
        <v>115051.65</v>
      </c>
      <c r="R58" s="90">
        <v>568.4</v>
      </c>
      <c r="S58" s="16"/>
      <c r="T58" s="20">
        <f>+P58+R58+S58</f>
        <v>2256.1999999999998</v>
      </c>
      <c r="U58" s="45">
        <f>P58/T58</f>
        <v>0.74807197943444736</v>
      </c>
      <c r="V58" s="18"/>
      <c r="W58" s="18"/>
      <c r="X58" s="18"/>
      <c r="Y58" s="18"/>
      <c r="Z58" s="45"/>
      <c r="AA58" s="45"/>
      <c r="AB58" s="89"/>
      <c r="AC58" s="82">
        <v>4523.2361000000001</v>
      </c>
      <c r="AD58" s="82">
        <f>213.4169+710.943+717.4961</f>
        <v>1641.8559999999998</v>
      </c>
      <c r="AE58" s="81">
        <f>+AC58+AD58</f>
        <v>6165.0920999999998</v>
      </c>
      <c r="AF58" s="82">
        <v>611.4</v>
      </c>
      <c r="AG58" s="81">
        <f>+AE58+AF58</f>
        <v>6776.4920999999995</v>
      </c>
      <c r="AH58" s="81">
        <v>2322.3593999999998</v>
      </c>
      <c r="AI58" s="83">
        <v>-1008.3</v>
      </c>
      <c r="AJ58" s="82">
        <f>+T58-AG58-AI58-AH58</f>
        <v>-5834.3514999999989</v>
      </c>
      <c r="AK58" s="81">
        <f>+AI58+AJ58</f>
        <v>-6842.651499999999</v>
      </c>
      <c r="AL58" s="17"/>
      <c r="AM58" s="59">
        <f>+AC58*F58</f>
        <v>4702.5806387736293</v>
      </c>
      <c r="AN58" s="59">
        <f>+AD58*F58</f>
        <v>1706.954946980175</v>
      </c>
      <c r="AO58" s="59">
        <f>+AF58*F58</f>
        <v>635.64177040110656</v>
      </c>
      <c r="AP58" s="59">
        <f>+T58*F58</f>
        <v>2345.6574458275704</v>
      </c>
      <c r="AS58" s="57">
        <f>+AC58/(C58/1000000)</f>
        <v>6137.4540189880718</v>
      </c>
      <c r="AT58" s="57">
        <f>+AD58/(C58/1000000)</f>
        <v>2227.7890172037842</v>
      </c>
      <c r="AU58" s="57">
        <f>+AF58/(C58/1000000)</f>
        <v>829.59175781456702</v>
      </c>
      <c r="AV58" s="57">
        <f>+T58/(C58/1000000)</f>
        <v>3061.3754072313154</v>
      </c>
      <c r="AW58" s="57"/>
      <c r="AY58" s="59">
        <f>+AM58/(C58/1000000)</f>
        <v>6380.8016656607215</v>
      </c>
      <c r="AZ58" s="59">
        <f>+AN58/(C58/1000000)</f>
        <v>2316.1199786973416</v>
      </c>
      <c r="BA58" s="59">
        <f>+AO58/(C58/1000000)</f>
        <v>862.48474590679984</v>
      </c>
      <c r="BB58" s="59">
        <f>+AP58/(C58/1000000)</f>
        <v>3182.7577424189103</v>
      </c>
      <c r="BC58" s="59">
        <f>+AY58+AZ58+BA58</f>
        <v>9559.4063902648631</v>
      </c>
      <c r="BD58" s="59"/>
      <c r="BF58" s="63">
        <v>3245.0786000000003</v>
      </c>
      <c r="BG58" s="63">
        <v>102.989</v>
      </c>
      <c r="BH58" s="64">
        <v>1310.8675719999999</v>
      </c>
      <c r="BI58" s="63">
        <v>1964</v>
      </c>
      <c r="BJ58" s="63">
        <f>+BF58+BG58+BH58+T58</f>
        <v>6915.1351720000002</v>
      </c>
      <c r="BL58" s="63">
        <f>+BF58*F58</f>
        <v>3373.7446947902263</v>
      </c>
      <c r="BM58" s="63">
        <f>+BG58*F58</f>
        <v>107.07247349008762</v>
      </c>
      <c r="BN58" s="64">
        <f>+BH58*F58</f>
        <v>1362.8429575195942</v>
      </c>
      <c r="BO58" s="63">
        <f>+BI58*F58</f>
        <v>2041.8718303365608</v>
      </c>
      <c r="BP58" s="63">
        <f>+BJ58*F58</f>
        <v>7189.3175716274791</v>
      </c>
      <c r="BQ58" s="63"/>
      <c r="BR58" s="63">
        <f>+BL58/(C58/1000000)</f>
        <v>4577.7409090098035</v>
      </c>
      <c r="BS58" s="64">
        <f>+BM58/(C58/1000000)</f>
        <v>145.28367925449038</v>
      </c>
      <c r="BT58" s="63">
        <f>+BN58/(C58/1000000)</f>
        <v>1849.2039331924821</v>
      </c>
      <c r="BU58" s="63">
        <f>+BO58/(C58/1000000)</f>
        <v>2770.5594389286148</v>
      </c>
      <c r="BV58" s="63">
        <f>+BP58/(C58/1000000)</f>
        <v>9754.9862638756877</v>
      </c>
      <c r="BX58" s="63">
        <f>+BR58+AY58</f>
        <v>10958.542574670526</v>
      </c>
      <c r="BY58" s="63">
        <f>+BS58+AZ58</f>
        <v>2461.403657951832</v>
      </c>
      <c r="BZ58" s="63">
        <f>+BT58+BA58</f>
        <v>2711.6886790992821</v>
      </c>
      <c r="CA58" s="63">
        <f>+BU58</f>
        <v>2770.5594389286148</v>
      </c>
      <c r="CB58" s="63">
        <f>+BV58+CA58</f>
        <v>12525.545702804302</v>
      </c>
      <c r="CC58" s="63">
        <f>+BX58+BY58+BZ58</f>
        <v>16131.634911721641</v>
      </c>
      <c r="CE58" s="63">
        <f>+CC58-BC58</f>
        <v>6572.2285214567783</v>
      </c>
    </row>
    <row r="59" spans="1:83" s="50" customFormat="1" ht="15">
      <c r="A59" s="71" t="s">
        <v>18</v>
      </c>
      <c r="B59" s="16" t="s">
        <v>14</v>
      </c>
      <c r="C59" s="88">
        <v>739649</v>
      </c>
      <c r="D59" s="26">
        <v>217.83</v>
      </c>
      <c r="E59" s="21">
        <f>+D59/D58-1</f>
        <v>4.2876901798063471E-3</v>
      </c>
      <c r="F59" s="87">
        <f>+$D$61/D59</f>
        <v>1.0352109443143735</v>
      </c>
      <c r="G59" s="92">
        <v>43.18</v>
      </c>
      <c r="H59" s="5">
        <v>111.7</v>
      </c>
      <c r="I59" s="5">
        <v>-58.8</v>
      </c>
      <c r="J59" s="5">
        <v>176.8</v>
      </c>
      <c r="K59" s="18"/>
      <c r="L59" s="5">
        <v>9.1999999999999993</v>
      </c>
      <c r="M59" s="5">
        <v>840.3</v>
      </c>
      <c r="N59" s="18">
        <v>30.3</v>
      </c>
      <c r="O59" s="18"/>
      <c r="P59" s="91">
        <f>SUM(H59:O59)</f>
        <v>1109.5</v>
      </c>
      <c r="Q59" s="18">
        <f>$Q58+P59</f>
        <v>116161.15</v>
      </c>
      <c r="R59" s="90">
        <f>1532.7-P59</f>
        <v>423.20000000000005</v>
      </c>
      <c r="S59" s="16"/>
      <c r="T59" s="20">
        <f>+P59+R59+S59</f>
        <v>1532.7</v>
      </c>
      <c r="U59" s="45">
        <f>P59/T59</f>
        <v>0.72388595289358648</v>
      </c>
      <c r="V59" s="18"/>
      <c r="W59" s="18"/>
      <c r="X59" s="18"/>
      <c r="Y59" s="18"/>
      <c r="Z59" s="45"/>
      <c r="AA59" s="45"/>
      <c r="AB59" s="89"/>
      <c r="AC59" s="82">
        <v>4171.8</v>
      </c>
      <c r="AD59" s="82">
        <v>1140.0999999999999</v>
      </c>
      <c r="AE59" s="81">
        <f>+AC59+AD59</f>
        <v>5311.9</v>
      </c>
      <c r="AF59" s="82">
        <v>129.79409999999999</v>
      </c>
      <c r="AG59" s="81">
        <f>+AE59+AF59</f>
        <v>5441.6940999999997</v>
      </c>
      <c r="AH59" s="81"/>
      <c r="AI59" s="83">
        <v>-243.62880000000001</v>
      </c>
      <c r="AJ59" s="82">
        <f>+T59-AI59-AG59</f>
        <v>-3665.3652999999995</v>
      </c>
      <c r="AK59" s="81">
        <f>+AI59+AJ59</f>
        <v>-3908.9940999999994</v>
      </c>
      <c r="AL59" s="17"/>
      <c r="AM59" s="59">
        <f>+AC59*F59</f>
        <v>4318.6930174907038</v>
      </c>
      <c r="AN59" s="59">
        <f>+AD59*F59</f>
        <v>1180.2439976128171</v>
      </c>
      <c r="AO59" s="59">
        <f>+AF59*F59</f>
        <v>134.36427282743421</v>
      </c>
      <c r="AP59" s="59">
        <f>+T59*F59</f>
        <v>1586.6678143506404</v>
      </c>
      <c r="AS59" s="57">
        <f>+AC59/(C59/1000000)</f>
        <v>5640.2428719568334</v>
      </c>
      <c r="AT59" s="57">
        <f>+AD59/(C59/1000000)</f>
        <v>1541.4068024157402</v>
      </c>
      <c r="AU59" s="57">
        <f>+AF59/(C59/1000000)</f>
        <v>175.48066718132517</v>
      </c>
      <c r="AV59" s="57">
        <f>+T59/(C59/1000000)</f>
        <v>2072.199110659245</v>
      </c>
      <c r="AW59" s="57"/>
      <c r="AY59" s="59">
        <f>+AM59/(C59/1000000)</f>
        <v>5838.841149640848</v>
      </c>
      <c r="AZ59" s="59">
        <f>+AN59/(C59/1000000)</f>
        <v>1595.6811915013975</v>
      </c>
      <c r="BA59" s="59">
        <f>+AO59/(C59/1000000)</f>
        <v>181.65950718169591</v>
      </c>
      <c r="BB59" s="59">
        <f>+AP59/(C59/1000000)</f>
        <v>2145.1631981529622</v>
      </c>
      <c r="BC59" s="59">
        <f>+AY59+AZ59+BA59</f>
        <v>7616.1818483239413</v>
      </c>
      <c r="BD59" s="59"/>
      <c r="BF59" s="63">
        <v>3514.0414999999998</v>
      </c>
      <c r="BG59" s="63">
        <v>107.51960000000001</v>
      </c>
      <c r="BH59" s="64">
        <v>1373.9003989999999</v>
      </c>
      <c r="BI59" s="63">
        <v>1405</v>
      </c>
      <c r="BJ59" s="63">
        <f>+BF59+BG59+BH59+T59</f>
        <v>6528.1614989999998</v>
      </c>
      <c r="BL59" s="63">
        <f>+BF59*F59</f>
        <v>3637.7742195748974</v>
      </c>
      <c r="BM59" s="63">
        <f>+BG59*F59</f>
        <v>111.30546664830374</v>
      </c>
      <c r="BN59" s="64">
        <f>+BH59*F59</f>
        <v>1422.2767294426844</v>
      </c>
      <c r="BO59" s="63">
        <f>+BI59*F59</f>
        <v>1454.4713767616947</v>
      </c>
      <c r="BP59" s="63">
        <f>+BJ59*F59</f>
        <v>6758.0242300165264</v>
      </c>
      <c r="BQ59" s="63"/>
      <c r="BR59" s="63">
        <f>+BL59/(C59/1000000)</f>
        <v>4918.24395027222</v>
      </c>
      <c r="BS59" s="64">
        <f>+BM59/(C59/1000000)</f>
        <v>150.48417107074266</v>
      </c>
      <c r="BT59" s="63">
        <f>+BN59/(C59/1000000)</f>
        <v>1922.9076622055657</v>
      </c>
      <c r="BU59" s="63">
        <f>+BO59/(C59/1000000)</f>
        <v>1966.4345882461746</v>
      </c>
      <c r="BV59" s="63">
        <f>+BP59/(C59/1000000)</f>
        <v>9136.7989817014914</v>
      </c>
      <c r="BX59" s="63">
        <f>+BR59+AY59</f>
        <v>10757.085099913067</v>
      </c>
      <c r="BY59" s="63">
        <f>+BS59+AZ59</f>
        <v>1746.1653625721401</v>
      </c>
      <c r="BZ59" s="63">
        <f>+BT59+BA59</f>
        <v>2104.5671693872614</v>
      </c>
      <c r="CA59" s="63">
        <f>+BU59</f>
        <v>1966.4345882461746</v>
      </c>
      <c r="CB59" s="63">
        <f>+BV59+CA59</f>
        <v>11103.233569947666</v>
      </c>
      <c r="CC59" s="63">
        <f>+BX59+BY59+BZ59</f>
        <v>14607.817631872469</v>
      </c>
      <c r="CE59" s="63">
        <f>+CC59-BC59</f>
        <v>6991.6357835485278</v>
      </c>
    </row>
    <row r="60" spans="1:83" ht="15">
      <c r="A60" s="71" t="s">
        <v>17</v>
      </c>
      <c r="B60" s="12" t="s">
        <v>14</v>
      </c>
      <c r="C60" s="88">
        <v>737783</v>
      </c>
      <c r="D60" s="26">
        <v>218.87299999999999</v>
      </c>
      <c r="E60" s="21">
        <f>+D60/D59-1</f>
        <v>4.7881375384473124E-3</v>
      </c>
      <c r="F60" s="87">
        <f>+$D$61/D60</f>
        <v>1.030277832350267</v>
      </c>
      <c r="G60" s="86">
        <v>49.43</v>
      </c>
      <c r="H60" s="5">
        <v>120.4</v>
      </c>
      <c r="I60" s="5">
        <v>-59.4</v>
      </c>
      <c r="J60" s="5">
        <v>125.9</v>
      </c>
      <c r="K60" s="5"/>
      <c r="L60" s="5">
        <v>8.6</v>
      </c>
      <c r="M60" s="5">
        <v>676.2</v>
      </c>
      <c r="N60" s="5">
        <v>5.3</v>
      </c>
      <c r="O60" s="5"/>
      <c r="P60" s="20">
        <f>SUM(H60:O60)</f>
        <v>877</v>
      </c>
      <c r="Q60" s="5">
        <f>$Q59+P60</f>
        <v>117038.15</v>
      </c>
      <c r="R60" s="85">
        <v>477.7</v>
      </c>
      <c r="S60" s="17"/>
      <c r="T60" s="20">
        <f>+P60+R60+S60</f>
        <v>1354.7</v>
      </c>
      <c r="U60" s="45">
        <f>P60/T60</f>
        <v>0.64737580276075879</v>
      </c>
      <c r="V60" s="18"/>
      <c r="W60" s="18"/>
      <c r="X60" s="61"/>
      <c r="Y60" s="61"/>
      <c r="Z60" s="84"/>
      <c r="AA60" s="60"/>
      <c r="AC60" s="82">
        <v>3972.4881</v>
      </c>
      <c r="AD60" s="82">
        <v>430.4203</v>
      </c>
      <c r="AE60" s="81">
        <f>+AC60+AD60</f>
        <v>4402.9084000000003</v>
      </c>
      <c r="AF60" s="82">
        <v>107.426</v>
      </c>
      <c r="AG60" s="81">
        <f>+AE60+AF60</f>
        <v>4510.3344000000006</v>
      </c>
      <c r="AH60" s="81"/>
      <c r="AI60" s="83">
        <v>66.084900000000005</v>
      </c>
      <c r="AJ60" s="82">
        <f>+T60-AI60-AG60</f>
        <v>-3221.7193000000007</v>
      </c>
      <c r="AK60" s="81">
        <f>+AI60+AJ60</f>
        <v>-3155.6344000000008</v>
      </c>
      <c r="AL60" s="80"/>
      <c r="AM60" s="59">
        <f>+AC60*F60</f>
        <v>4092.7664287052307</v>
      </c>
      <c r="AN60" s="59">
        <f>+AD60*F60</f>
        <v>443.45249368355167</v>
      </c>
      <c r="AO60" s="59">
        <f>+AF60*F60</f>
        <v>110.67862641805979</v>
      </c>
      <c r="AP60" s="59">
        <f>+T60*F60</f>
        <v>1395.7173794849068</v>
      </c>
      <c r="AQ60" s="50"/>
      <c r="AR60" s="50"/>
      <c r="AS60" s="57">
        <f>+AC60/(C60/1000000)</f>
        <v>5384.3584089088527</v>
      </c>
      <c r="AT60" s="57">
        <f>+AD60/(C60/1000000)</f>
        <v>583.39687957028013</v>
      </c>
      <c r="AU60" s="57">
        <f>+AF60/(C60/1000000)</f>
        <v>145.60649947206699</v>
      </c>
      <c r="AV60" s="57">
        <f>+T60/(C60/1000000)</f>
        <v>1836.1767620018354</v>
      </c>
      <c r="AW60" s="57"/>
      <c r="AX60" s="50"/>
      <c r="AY60" s="59">
        <f>+AM60/(C60/1000000)</f>
        <v>5547.3851101275459</v>
      </c>
      <c r="AZ60" s="59">
        <f>+AN60/(C60/1000000)</f>
        <v>601.06087248357812</v>
      </c>
      <c r="BA60" s="59">
        <f>+AO60/(C60/1000000)</f>
        <v>150.0151486521915</v>
      </c>
      <c r="BB60" s="59">
        <f>+AP60/(C60/1000000)</f>
        <v>1891.7722141671832</v>
      </c>
      <c r="BC60" s="59">
        <f>+AY60+AZ60+BA60</f>
        <v>6298.461131263316</v>
      </c>
      <c r="BD60" s="59"/>
      <c r="BF60" s="63">
        <v>3914.5598</v>
      </c>
      <c r="BG60" s="63">
        <v>211.0155</v>
      </c>
      <c r="BH60" s="64">
        <v>1473.3284979999999</v>
      </c>
      <c r="BI60" s="63">
        <v>695.65</v>
      </c>
      <c r="BJ60" s="63">
        <f>+BF60+BG60+BH60+T60</f>
        <v>6953.6037980000001</v>
      </c>
      <c r="BL60" s="63">
        <f>+BF60*F60</f>
        <v>4033.0841853494949</v>
      </c>
      <c r="BM60" s="63">
        <f>+BG60*F60</f>
        <v>217.40459193230777</v>
      </c>
      <c r="BN60" s="64">
        <f>+BH60*F60</f>
        <v>1517.9376912593145</v>
      </c>
      <c r="BO60" s="63">
        <f>+BI60*F60</f>
        <v>716.71277407446325</v>
      </c>
      <c r="BP60" s="63">
        <f>+BJ60*F60</f>
        <v>7164.143848026024</v>
      </c>
      <c r="BQ60" s="63"/>
      <c r="BR60" s="63">
        <f>+BL60/(C60/1000000)</f>
        <v>5466.4910757627849</v>
      </c>
      <c r="BS60" s="64">
        <f>+BM60/(C60/1000000)</f>
        <v>294.67281291695224</v>
      </c>
      <c r="BT60" s="63">
        <f>+BN60/(C60/1000000)</f>
        <v>2057.4311027216872</v>
      </c>
      <c r="BU60" s="63">
        <f>+BO60/(C60/1000000)</f>
        <v>971.44116098427764</v>
      </c>
      <c r="BV60" s="63">
        <f>+BP60/(C60/1000000)</f>
        <v>9710.3672055686075</v>
      </c>
      <c r="BX60" s="63">
        <f>+BR60+AY60</f>
        <v>11013.876185890331</v>
      </c>
      <c r="BY60" s="63">
        <f>+BS60+AZ60</f>
        <v>895.73368540053036</v>
      </c>
      <c r="BZ60" s="63">
        <f>+BT60+BA60</f>
        <v>2207.4462513738786</v>
      </c>
      <c r="CA60" s="63">
        <f>+BU60</f>
        <v>971.44116098427764</v>
      </c>
      <c r="CB60" s="63">
        <f>+BV60+CA60</f>
        <v>10681.808366552885</v>
      </c>
      <c r="CC60" s="63">
        <f>+BX60+BY60+BZ60</f>
        <v>14117.056122664739</v>
      </c>
      <c r="CE60" s="63">
        <f>+CC60-BC60</f>
        <v>7818.5949914014227</v>
      </c>
    </row>
    <row r="61" spans="1:83" ht="15">
      <c r="A61" s="71" t="s">
        <v>16</v>
      </c>
      <c r="B61" s="12" t="s">
        <v>14</v>
      </c>
      <c r="C61" s="76">
        <v>736239</v>
      </c>
      <c r="D61" s="79">
        <v>225.5</v>
      </c>
      <c r="E61" s="78">
        <f>+D61/D60-1</f>
        <v>3.0277832350267042E-2</v>
      </c>
      <c r="F61" s="77">
        <f>+$D$61/D61</f>
        <v>1</v>
      </c>
      <c r="G61" s="5">
        <v>61</v>
      </c>
      <c r="H61" s="5">
        <v>121.6</v>
      </c>
      <c r="I61" s="5">
        <v>66.400000000000006</v>
      </c>
      <c r="J61" s="5">
        <v>741.2</v>
      </c>
      <c r="K61" s="5"/>
      <c r="L61" s="5">
        <v>8.6999999999999993</v>
      </c>
      <c r="M61" s="5">
        <v>977.8</v>
      </c>
      <c r="N61" s="5">
        <f>23.6+0.9</f>
        <v>24.5</v>
      </c>
      <c r="O61" s="5"/>
      <c r="P61" s="5">
        <f>SUM(H61:O61)</f>
        <v>1940.2</v>
      </c>
      <c r="Q61" s="5">
        <f>$Q60+P61</f>
        <v>118978.34999999999</v>
      </c>
      <c r="R61" s="5">
        <v>473.3</v>
      </c>
      <c r="S61" s="17"/>
      <c r="T61" s="20">
        <f>+P61+R61+S61</f>
        <v>2413.5</v>
      </c>
      <c r="U61" s="45">
        <f>P61/T61</f>
        <v>0.80389475864926452</v>
      </c>
      <c r="V61" s="18">
        <v>0</v>
      </c>
      <c r="W61" s="18"/>
      <c r="X61" s="61"/>
      <c r="Y61" s="55"/>
      <c r="Z61" s="61"/>
      <c r="AA61" s="61"/>
      <c r="AC61" s="73">
        <v>3860.0745999999999</v>
      </c>
      <c r="AD61" s="73">
        <v>485.03870000000001</v>
      </c>
      <c r="AE61" s="72">
        <f>+AC61+AD61</f>
        <v>4345.1133</v>
      </c>
      <c r="AF61" s="73">
        <v>129.6352</v>
      </c>
      <c r="AG61" s="72">
        <f>+AE61+AF61</f>
        <v>4474.7484999999997</v>
      </c>
      <c r="AH61" s="72"/>
      <c r="AI61" s="74">
        <v>4.3773999999999997</v>
      </c>
      <c r="AJ61" s="73">
        <f>+T61-AI61-AG61</f>
        <v>-2065.6258999999995</v>
      </c>
      <c r="AK61" s="72">
        <f>+AI61+AJ61</f>
        <v>-2061.2484999999997</v>
      </c>
      <c r="AL61" s="12"/>
      <c r="AM61" s="59">
        <f>+AC61*F61</f>
        <v>3860.0745999999999</v>
      </c>
      <c r="AN61" s="59">
        <f>+AD61*F61</f>
        <v>485.03870000000001</v>
      </c>
      <c r="AO61" s="59">
        <f>+AF61*F61</f>
        <v>129.6352</v>
      </c>
      <c r="AP61" s="59">
        <f>+T61*F61</f>
        <v>2413.5</v>
      </c>
      <c r="AQ61" s="50"/>
      <c r="AR61" s="50"/>
      <c r="AS61" s="57">
        <f>+AC61/(C61/1000000)</f>
        <v>5242.9640374932596</v>
      </c>
      <c r="AT61" s="57">
        <f>+AD61/(C61/1000000)</f>
        <v>658.80603988650432</v>
      </c>
      <c r="AU61" s="57">
        <f>+AF61/(C61/1000000)</f>
        <v>176.07760523416988</v>
      </c>
      <c r="AV61" s="57">
        <f>+T61/(C61/1000000)</f>
        <v>3278.1474494016211</v>
      </c>
      <c r="AW61" s="57"/>
      <c r="AX61" s="50"/>
      <c r="AY61" s="59">
        <f>+AM61/(C61/1000000)</f>
        <v>5242.9640374932596</v>
      </c>
      <c r="AZ61" s="59">
        <f>+AN61/(C61/1000000)</f>
        <v>658.80603988650432</v>
      </c>
      <c r="BA61" s="59">
        <f>+AO61/(C61/1000000)</f>
        <v>176.07760523416988</v>
      </c>
      <c r="BB61" s="59">
        <f>+AP61/(C61/1000000)</f>
        <v>3278.1474494016211</v>
      </c>
      <c r="BC61" s="59">
        <f>+AY61+AZ61+BA61</f>
        <v>6077.847682613934</v>
      </c>
      <c r="BD61" s="59"/>
      <c r="BF61" s="63">
        <v>4335.8418000000001</v>
      </c>
      <c r="BG61" s="63">
        <v>191.59049999999999</v>
      </c>
      <c r="BH61" s="64">
        <v>1327.2652190000001</v>
      </c>
      <c r="BI61" s="63">
        <v>760</v>
      </c>
      <c r="BJ61" s="63">
        <f>+BF61+BG61+BH61+T61</f>
        <v>8268.1975190000012</v>
      </c>
      <c r="BL61" s="63">
        <f>+BF61*F61</f>
        <v>4335.8418000000001</v>
      </c>
      <c r="BM61" s="63">
        <f>+BG61*F61</f>
        <v>191.59049999999999</v>
      </c>
      <c r="BN61" s="64">
        <f>+BH61*F61</f>
        <v>1327.2652190000001</v>
      </c>
      <c r="BO61" s="63">
        <f>+BI61*F61</f>
        <v>760</v>
      </c>
      <c r="BP61" s="63">
        <f>+BJ61*F61</f>
        <v>8268.1975190000012</v>
      </c>
      <c r="BQ61" s="63"/>
      <c r="BR61" s="63">
        <f>+BL61/(C61/1000000)</f>
        <v>5889.1770199622679</v>
      </c>
      <c r="BS61" s="64">
        <f>+BM61/(C61/1000000)</f>
        <v>260.22867574252382</v>
      </c>
      <c r="BT61" s="63">
        <f>+BN61/(C61/1000000)</f>
        <v>1802.7640738944829</v>
      </c>
      <c r="BU61" s="63">
        <f>+BO61/(C61/1000000)</f>
        <v>1032.2734872779083</v>
      </c>
      <c r="BV61" s="63">
        <f>+BP61/(C61/1000000)</f>
        <v>11230.317219000897</v>
      </c>
      <c r="BX61" s="63">
        <f>+BR61+AY61</f>
        <v>11132.141057455527</v>
      </c>
      <c r="BY61" s="63">
        <f>+BS61+AZ61</f>
        <v>919.03471562902814</v>
      </c>
      <c r="BZ61" s="63">
        <f>+BT61+BA61</f>
        <v>1978.8416791286527</v>
      </c>
      <c r="CA61" s="63">
        <f>+BU61</f>
        <v>1032.2734872779083</v>
      </c>
      <c r="CB61" s="63">
        <f>+BV61+CA61</f>
        <v>12262.590706278806</v>
      </c>
      <c r="CC61" s="63">
        <f>+BX61+BY61+BZ61</f>
        <v>14030.017452213207</v>
      </c>
      <c r="CE61" s="63">
        <f>+CC61-BC61</f>
        <v>7952.1697695992734</v>
      </c>
    </row>
    <row r="62" spans="1:83" ht="15">
      <c r="A62" s="71" t="s">
        <v>15</v>
      </c>
      <c r="B62" s="12" t="s">
        <v>14</v>
      </c>
      <c r="C62" s="76">
        <v>731007</v>
      </c>
      <c r="D62" s="69">
        <f>+D61*(1+$E$72)</f>
        <v>230.57374999999999</v>
      </c>
      <c r="E62" s="68">
        <f>+D62/D61-1</f>
        <v>2.2499999999999964E-2</v>
      </c>
      <c r="F62" s="67">
        <f>+$D$61/D62</f>
        <v>0.97799511002444994</v>
      </c>
      <c r="G62" s="48">
        <v>68.900000000000006</v>
      </c>
      <c r="H62" s="44">
        <v>119.5</v>
      </c>
      <c r="I62" s="44">
        <v>217.7</v>
      </c>
      <c r="J62" s="44">
        <v>587.29999999999995</v>
      </c>
      <c r="K62" s="5"/>
      <c r="L62" s="44">
        <v>8.1999999999999993</v>
      </c>
      <c r="M62" s="44">
        <v>1077.2</v>
      </c>
      <c r="N62" s="44">
        <v>37.5</v>
      </c>
      <c r="O62" s="5"/>
      <c r="P62" s="44">
        <v>2047.3</v>
      </c>
      <c r="Q62" s="5">
        <f>$Q61+P62</f>
        <v>121025.65</v>
      </c>
      <c r="R62" s="75">
        <f>491.4+93.3</f>
        <v>584.69999999999993</v>
      </c>
      <c r="S62" s="12"/>
      <c r="T62" s="20">
        <f>+P62+R62+S62</f>
        <v>2632</v>
      </c>
      <c r="U62" s="45">
        <f>P62/T62</f>
        <v>0.77784954407294826</v>
      </c>
      <c r="V62" s="44">
        <f>2722.6-1023.487</f>
        <v>1699.1129999999998</v>
      </c>
      <c r="W62" s="66">
        <f>5354.6-1023.487</f>
        <v>4331.1130000000003</v>
      </c>
      <c r="X62" s="61"/>
      <c r="Y62" s="55"/>
      <c r="Z62" s="61"/>
      <c r="AA62" s="61"/>
      <c r="AC62" s="73">
        <v>4006.8850000000002</v>
      </c>
      <c r="AD62" s="73">
        <v>657.13990000000001</v>
      </c>
      <c r="AE62" s="72">
        <f>+AC62+AD62</f>
        <v>4664.0249000000003</v>
      </c>
      <c r="AF62" s="73">
        <v>167.96090000000001</v>
      </c>
      <c r="AG62" s="72">
        <f>+AE62+AF62</f>
        <v>4831.9858000000004</v>
      </c>
      <c r="AH62" s="72"/>
      <c r="AI62" s="74">
        <v>27.989799999999999</v>
      </c>
      <c r="AJ62" s="73">
        <f>+W62-AI62-AG62</f>
        <v>-528.86260000000038</v>
      </c>
      <c r="AK62" s="72">
        <f>+AI62+AJ62</f>
        <v>-500.87280000000038</v>
      </c>
      <c r="AL62" s="12"/>
      <c r="AM62" s="59">
        <f>+AC62*F62</f>
        <v>3918.7139364303184</v>
      </c>
      <c r="AN62" s="59">
        <f>+AD62*F62</f>
        <v>642.67960880195608</v>
      </c>
      <c r="AO62" s="59">
        <f>+AF62*F62</f>
        <v>164.26493887530563</v>
      </c>
      <c r="AP62" s="59">
        <f>+T62*F62</f>
        <v>2574.0831295843523</v>
      </c>
      <c r="AQ62" s="65">
        <f>+V62*F62</f>
        <v>1661.724205378973</v>
      </c>
      <c r="AR62" s="65"/>
      <c r="AS62" s="57">
        <f>+AC62/(C62/1000000)</f>
        <v>5481.3223402785479</v>
      </c>
      <c r="AT62" s="57">
        <f>+AD62/(C62/1000000)</f>
        <v>898.9515832269733</v>
      </c>
      <c r="AU62" s="57">
        <f>+AF62/(C62/1000000)</f>
        <v>229.76647282447365</v>
      </c>
      <c r="AV62" s="57">
        <f>+T62/(C62/1000000)</f>
        <v>3600.5127173884794</v>
      </c>
      <c r="AW62" s="57"/>
      <c r="AX62" s="50"/>
      <c r="AY62" s="59">
        <f>+AM62/(C62/1000000)</f>
        <v>5360.7064452601944</v>
      </c>
      <c r="AZ62" s="59">
        <f>+AN62/(C62/1000000)</f>
        <v>879.17025254471719</v>
      </c>
      <c r="BA62" s="59">
        <f>+AO62/(C62/1000000)</f>
        <v>224.71048686990088</v>
      </c>
      <c r="BB62" s="59">
        <f>+AP62/(C62/1000000)</f>
        <v>3521.2838311867772</v>
      </c>
      <c r="BC62" s="59">
        <f>+AY62+AZ62+BA62</f>
        <v>6464.5871846748123</v>
      </c>
      <c r="BD62" s="59">
        <f>+AQ62/(C62/1000000)</f>
        <v>2273.1987592170431</v>
      </c>
      <c r="BF62" s="63">
        <v>4191.2591000000002</v>
      </c>
      <c r="BG62" s="64">
        <v>257.61320000000001</v>
      </c>
      <c r="BH62" s="64">
        <v>1425.819356</v>
      </c>
      <c r="BI62" s="13">
        <v>1023.487</v>
      </c>
      <c r="BJ62" s="64">
        <f>+BF62+BG62+BH62+T62</f>
        <v>8506.6916559999991</v>
      </c>
      <c r="BL62" s="63">
        <f>+BF62*F62</f>
        <v>4099.0309046454777</v>
      </c>
      <c r="BM62" s="63">
        <f>+BG62*F62</f>
        <v>251.94444987775063</v>
      </c>
      <c r="BN62" s="64">
        <f>+BH62*F62</f>
        <v>1394.4443579462104</v>
      </c>
      <c r="BO62" s="63">
        <f>+BI62*F62</f>
        <v>1000.9652811735941</v>
      </c>
      <c r="BP62" s="63">
        <f>+BJ62*F62</f>
        <v>8319.5028420537892</v>
      </c>
      <c r="BQ62" s="63"/>
      <c r="BR62" s="63">
        <f>+BL62/(C62/1000000)</f>
        <v>5607.3757223193179</v>
      </c>
      <c r="BS62" s="64">
        <f>+BM62/(C62/1000000)</f>
        <v>344.6539497949413</v>
      </c>
      <c r="BT62" s="63">
        <f>+BN62/(C62/1000000)</f>
        <v>1907.566354284173</v>
      </c>
      <c r="BU62" s="63">
        <f>+BO62/(C62/1000000)</f>
        <v>1369.2964378912845</v>
      </c>
      <c r="BV62" s="63">
        <f>+BP62/(C62/1000000)</f>
        <v>11380.879857585207</v>
      </c>
      <c r="BX62" s="63">
        <f>+BR62+AY62</f>
        <v>10968.082167579512</v>
      </c>
      <c r="BY62" s="63">
        <f>+BS62+AZ62</f>
        <v>1223.8242023396585</v>
      </c>
      <c r="BZ62" s="63">
        <f>+BT62+BA62</f>
        <v>2132.2768411540737</v>
      </c>
      <c r="CA62" s="63">
        <f>+BU62</f>
        <v>1369.2964378912845</v>
      </c>
      <c r="CB62" s="63">
        <f>+BV62+CA62</f>
        <v>12750.176295476491</v>
      </c>
      <c r="CC62" s="63">
        <f>+BX62+BY62+BZ62</f>
        <v>14324.183211073243</v>
      </c>
      <c r="CE62" s="63">
        <f>+CC62-BC62</f>
        <v>7859.5960263984307</v>
      </c>
    </row>
    <row r="63" spans="1:83" ht="15">
      <c r="A63" s="71" t="s">
        <v>13</v>
      </c>
      <c r="B63" s="12" t="s">
        <v>11</v>
      </c>
      <c r="C63" s="70">
        <v>733325</v>
      </c>
      <c r="D63" s="69">
        <f>+D62*(1+$E$72)</f>
        <v>235.76165937499999</v>
      </c>
      <c r="E63" s="68">
        <f>+D63/D62-1</f>
        <v>2.2499999999999964E-2</v>
      </c>
      <c r="F63" s="67">
        <f>+$D$61/D63</f>
        <v>0.95647443523173581</v>
      </c>
      <c r="G63" s="48">
        <v>66</v>
      </c>
      <c r="H63" s="44"/>
      <c r="I63" s="44"/>
      <c r="J63" s="44"/>
      <c r="K63" s="5"/>
      <c r="L63" s="44"/>
      <c r="M63" s="44"/>
      <c r="N63" s="44"/>
      <c r="O63" s="5"/>
      <c r="P63" s="44">
        <v>1559.4</v>
      </c>
      <c r="Q63" s="5">
        <f>$Q62+P63</f>
        <v>122585.04999999999</v>
      </c>
      <c r="R63" s="44">
        <f>502.9+54.1</f>
        <v>557</v>
      </c>
      <c r="S63" s="12"/>
      <c r="T63" s="20">
        <f>+P63+R63+S63</f>
        <v>2116.4</v>
      </c>
      <c r="U63" s="45">
        <f>P63/T63</f>
        <v>0.73681723681723688</v>
      </c>
      <c r="V63" s="44">
        <f>2933.1-1068.9</f>
        <v>1864.1999999999998</v>
      </c>
      <c r="W63" s="66">
        <f>5049.4-1068.9</f>
        <v>3980.4999999999995</v>
      </c>
      <c r="X63" s="61"/>
      <c r="Y63" s="55"/>
      <c r="Z63" s="61"/>
      <c r="AA63" s="61"/>
      <c r="AC63" s="66">
        <v>3739.1</v>
      </c>
      <c r="AD63" s="66">
        <v>479.4</v>
      </c>
      <c r="AE63" s="66">
        <f>+AC63+AD63</f>
        <v>4218.5</v>
      </c>
      <c r="AF63" s="66">
        <v>146.80000000000001</v>
      </c>
      <c r="AG63" s="66">
        <f>+AE63+AF63</f>
        <v>4365.3</v>
      </c>
      <c r="AH63" s="66"/>
      <c r="AI63" s="66">
        <v>-272.39999999999998</v>
      </c>
      <c r="AJ63" s="66">
        <f>+W63-AI63-AG63</f>
        <v>-112.40000000000055</v>
      </c>
      <c r="AK63" s="66">
        <f>+AI63+AJ63</f>
        <v>-384.80000000000052</v>
      </c>
      <c r="AL63" s="12"/>
      <c r="AM63" s="59">
        <f>+AC63*F63</f>
        <v>3576.3535607749832</v>
      </c>
      <c r="AN63" s="59">
        <f>+AD63*F63</f>
        <v>458.53384425009415</v>
      </c>
      <c r="AO63" s="59">
        <f>+AF63*F63</f>
        <v>140.41044709201881</v>
      </c>
      <c r="AP63" s="59">
        <f>+T63*F63</f>
        <v>2024.2824947244458</v>
      </c>
      <c r="AQ63" s="65">
        <f>+V63*F63</f>
        <v>1783.0596421590017</v>
      </c>
      <c r="AR63" s="65"/>
      <c r="AS63" s="57">
        <f>+AC63/(C63/1000000)</f>
        <v>5098.8306685303241</v>
      </c>
      <c r="AT63" s="57">
        <f>+AD63/(C63/1000000)</f>
        <v>653.73470153069923</v>
      </c>
      <c r="AU63" s="57">
        <f>+AF63/(C63/1000000)</f>
        <v>200.18409300105685</v>
      </c>
      <c r="AV63" s="57">
        <f>+T63/(C63/1000000)</f>
        <v>2886.0327958272255</v>
      </c>
      <c r="AW63" s="57"/>
      <c r="AX63" s="50"/>
      <c r="AY63" s="1">
        <f>+AM63/(C63/1000000)</f>
        <v>4876.9011840247958</v>
      </c>
      <c r="AZ63" s="1">
        <f>+AN63/(C63/1000000)</f>
        <v>625.28052943796285</v>
      </c>
      <c r="BA63" s="18">
        <f>+AO63/(C63/1000000)</f>
        <v>191.4709672955631</v>
      </c>
      <c r="BB63" s="59">
        <f>+AP63/(C63/1000000)</f>
        <v>2760.4165884491131</v>
      </c>
      <c r="BC63" s="59">
        <f>+AY63+AZ63+BA63</f>
        <v>5693.6526807583223</v>
      </c>
      <c r="BD63" s="59">
        <f>+AQ63/(C63/1000000)</f>
        <v>2431.4725969508768</v>
      </c>
      <c r="BF63" s="64">
        <v>4128.2755999999999</v>
      </c>
      <c r="BG63" s="64">
        <v>300.7</v>
      </c>
      <c r="BH63" s="64">
        <v>1131.3780099999999</v>
      </c>
      <c r="BI63" s="13">
        <v>1068.9000000000001</v>
      </c>
      <c r="BJ63" s="64">
        <f>+BF63+BG63+BH63+T63</f>
        <v>7676.7536099999998</v>
      </c>
      <c r="BL63" s="63">
        <f>+BF63*F63</f>
        <v>3948.5900729909554</v>
      </c>
      <c r="BM63" s="63">
        <f>+BG63*F63</f>
        <v>287.61186267418293</v>
      </c>
      <c r="BN63" s="64">
        <f>+BH63*F63</f>
        <v>1082.134143148355</v>
      </c>
      <c r="BO63" s="63">
        <f>+BI63*F63</f>
        <v>1022.3755238192025</v>
      </c>
      <c r="BP63" s="63">
        <f>+BJ63*F63</f>
        <v>7342.6185735379386</v>
      </c>
      <c r="BQ63" s="63"/>
      <c r="BR63" s="63">
        <f>+BL63/(C63/1000000)</f>
        <v>5384.5021961489865</v>
      </c>
      <c r="BS63" s="64">
        <f>+BM63/(C63/1000000)</f>
        <v>392.20245140174262</v>
      </c>
      <c r="BT63" s="63">
        <f>+BN63/(C63/1000000)</f>
        <v>1475.6542367277195</v>
      </c>
      <c r="BU63" s="63">
        <f>+BO63/(C63/1000000)</f>
        <v>1394.1642843475984</v>
      </c>
      <c r="BV63" s="63">
        <f>+BP63/(C63/1000000)</f>
        <v>10012.775472727561</v>
      </c>
      <c r="BX63" s="63">
        <f>+BR63+AY63</f>
        <v>10261.403380173782</v>
      </c>
      <c r="BY63" s="63">
        <f>+BS63+AZ63</f>
        <v>1017.4829808397055</v>
      </c>
      <c r="BZ63" s="63">
        <f>+BT63+BA63</f>
        <v>1667.1252040232825</v>
      </c>
      <c r="CA63" s="63">
        <f>+BU63</f>
        <v>1394.1642843475984</v>
      </c>
      <c r="CB63" s="63">
        <f>+BV63+CA63</f>
        <v>11406.939757075159</v>
      </c>
      <c r="CC63" s="63">
        <f>+BX63+BY63+BZ63</f>
        <v>12946.011565036772</v>
      </c>
      <c r="CE63" s="63">
        <f>+CC63-BC63</f>
        <v>7252.3588842784493</v>
      </c>
    </row>
    <row r="64" spans="1:83" ht="15">
      <c r="A64" s="49" t="s">
        <v>12</v>
      </c>
      <c r="B64" s="12" t="s">
        <v>11</v>
      </c>
      <c r="C64" s="70">
        <v>731591</v>
      </c>
      <c r="D64" s="69">
        <f>+D63*(1+$E$72)</f>
        <v>241.06629671093748</v>
      </c>
      <c r="E64" s="68">
        <f>+D64/D63-1</f>
        <v>2.2499999999999964E-2</v>
      </c>
      <c r="F64" s="67">
        <f>+$D$61/D64</f>
        <v>0.93542732052003508</v>
      </c>
      <c r="G64" s="48">
        <v>66</v>
      </c>
      <c r="H64" s="44"/>
      <c r="I64" s="44"/>
      <c r="J64" s="44"/>
      <c r="K64" s="5"/>
      <c r="L64" s="44"/>
      <c r="M64" s="44"/>
      <c r="N64" s="44"/>
      <c r="O64" s="5"/>
      <c r="P64" s="44">
        <v>1410</v>
      </c>
      <c r="Q64" s="5">
        <f>$Q63+P64</f>
        <v>123995.04999999999</v>
      </c>
      <c r="R64" s="44">
        <f>505.7+51.8</f>
        <v>557.5</v>
      </c>
      <c r="S64" s="12"/>
      <c r="T64" s="20">
        <f>+P64+R64+S64</f>
        <v>1967.5</v>
      </c>
      <c r="U64" s="45">
        <f>P64/T64</f>
        <v>0.71664548919949178</v>
      </c>
      <c r="V64" s="44">
        <f>3091.5-2005.1</f>
        <v>1086.4000000000001</v>
      </c>
      <c r="W64" s="66">
        <f>5059-2005.1</f>
        <v>3053.9</v>
      </c>
      <c r="X64" s="61"/>
      <c r="Y64" s="55"/>
      <c r="Z64" s="61"/>
      <c r="AA64" s="61"/>
      <c r="AC64" s="66">
        <v>3897.5</v>
      </c>
      <c r="AD64" s="66">
        <v>499</v>
      </c>
      <c r="AE64" s="66">
        <f>+AC64+AD64</f>
        <v>4396.5</v>
      </c>
      <c r="AF64" s="66">
        <v>135.6</v>
      </c>
      <c r="AG64" s="66">
        <f>+AE64+AF64</f>
        <v>4532.1000000000004</v>
      </c>
      <c r="AH64" s="66"/>
      <c r="AI64" s="66">
        <v>69.2</v>
      </c>
      <c r="AJ64" s="66">
        <f>+W64-AI64-AG64</f>
        <v>-1547.4</v>
      </c>
      <c r="AK64" s="66">
        <f>+AI64+AJ64</f>
        <v>-1478.2</v>
      </c>
      <c r="AM64" s="59">
        <f>+AC64*F64</f>
        <v>3645.8279817268367</v>
      </c>
      <c r="AN64" s="59">
        <f>+AD64*F64</f>
        <v>466.77823293949751</v>
      </c>
      <c r="AO64" s="59">
        <f>+AF64*F64</f>
        <v>126.84394466251675</v>
      </c>
      <c r="AP64" s="59">
        <f>+T64*F64</f>
        <v>1840.4532531231689</v>
      </c>
      <c r="AQ64" s="65">
        <f>+V64*F64</f>
        <v>1016.2482410129662</v>
      </c>
      <c r="AR64" s="50"/>
      <c r="AS64" s="57">
        <f>+AC64/(C64/1000000)</f>
        <v>5327.4302171568543</v>
      </c>
      <c r="AT64" s="57">
        <f>+AD64/(C64/1000000)</f>
        <v>682.07509387075561</v>
      </c>
      <c r="AU64" s="57">
        <f>+AF64/(C64/1000000)</f>
        <v>185.34946438652196</v>
      </c>
      <c r="AV64" s="57">
        <f>+T64/(C64/1000000)</f>
        <v>2689.3441827469173</v>
      </c>
      <c r="AW64" s="57"/>
      <c r="AX64" s="50"/>
      <c r="AY64" s="1">
        <f>+AM64/(C64/1000000)</f>
        <v>4983.4237732925048</v>
      </c>
      <c r="AZ64" s="1">
        <f>+AN64/(C64/1000000)</f>
        <v>638.03167745297242</v>
      </c>
      <c r="BA64" s="18">
        <f>+AO64/(C64/1000000)</f>
        <v>173.38095283090792</v>
      </c>
      <c r="BB64" s="59">
        <f>+AP64/(C64/1000000)</f>
        <v>2515.6860228230921</v>
      </c>
      <c r="BC64" s="59">
        <f>+AY64+AZ64+BA64</f>
        <v>5794.8364035763852</v>
      </c>
      <c r="BD64" s="59">
        <f>+AQ64/(C64/1000000)</f>
        <v>1389.0934156010205</v>
      </c>
      <c r="BF64" s="64">
        <v>4244.0272999999997</v>
      </c>
      <c r="BG64" s="64">
        <v>223.92490000000001</v>
      </c>
      <c r="BH64" s="64">
        <v>1181.9395340000001</v>
      </c>
      <c r="BI64" s="13">
        <v>2005.1</v>
      </c>
      <c r="BJ64" s="64">
        <f>+BF64+BG64+BH64+T64</f>
        <v>7617.3917339999998</v>
      </c>
      <c r="BL64" s="63">
        <f>+BF64*F64</f>
        <v>3969.9790854528787</v>
      </c>
      <c r="BM64" s="63">
        <f>+BG64*F64</f>
        <v>209.46546920471681</v>
      </c>
      <c r="BN64" s="64">
        <f>+BH64*F64</f>
        <v>1105.618531306319</v>
      </c>
      <c r="BO64" s="63">
        <f>+BI64*F64</f>
        <v>1875.6253203747222</v>
      </c>
      <c r="BP64" s="63">
        <f>+BJ64*F64</f>
        <v>7125.5163390870839</v>
      </c>
      <c r="BR64" s="63">
        <f>+BL64/(C64/1000000)</f>
        <v>5426.5007161827834</v>
      </c>
      <c r="BS64" s="64">
        <f>+BM64/(C64/1000000)</f>
        <v>286.31498911921665</v>
      </c>
      <c r="BT64" s="63">
        <f>+BN64/(C64/1000000)</f>
        <v>1511.2522315150393</v>
      </c>
      <c r="BU64" s="63">
        <f>+BO64/(C64/1000000)</f>
        <v>2563.7621572363823</v>
      </c>
      <c r="BV64" s="63">
        <f>+BP64/(C64/1000000)</f>
        <v>9739.753959640133</v>
      </c>
      <c r="BX64" s="63">
        <f>+BR64+AY64</f>
        <v>10409.924489475288</v>
      </c>
      <c r="BY64" s="63">
        <f>+BS64+AZ64</f>
        <v>924.34666657218906</v>
      </c>
      <c r="BZ64" s="63">
        <f>+BT64+BA64</f>
        <v>1684.6331843459473</v>
      </c>
      <c r="CA64" s="63">
        <f>+BU64</f>
        <v>2563.7621572363823</v>
      </c>
      <c r="CB64" s="63">
        <f>+BV64+CA64</f>
        <v>12303.516116876515</v>
      </c>
      <c r="CC64" s="63">
        <f>+BX64+BY64+BZ64</f>
        <v>13018.904340393425</v>
      </c>
      <c r="CE64" s="63">
        <f>+CC64-BC64</f>
        <v>7224.0679368170395</v>
      </c>
    </row>
    <row r="65" spans="1:83" ht="15">
      <c r="A65" s="49" t="s">
        <v>10</v>
      </c>
      <c r="C65" s="27"/>
      <c r="G65" s="48">
        <v>67</v>
      </c>
      <c r="H65" s="44"/>
      <c r="I65" s="44"/>
      <c r="J65" s="44"/>
      <c r="K65" s="5"/>
      <c r="L65" s="44"/>
      <c r="M65" s="44"/>
      <c r="N65" s="44"/>
      <c r="O65" s="5"/>
      <c r="P65" s="44">
        <v>1408.9</v>
      </c>
      <c r="Q65" s="5">
        <f>$Q64+P65</f>
        <v>125403.94999999998</v>
      </c>
      <c r="R65" s="44">
        <f>T65-P65</f>
        <v>567.5</v>
      </c>
      <c r="S65" s="12"/>
      <c r="T65" s="20">
        <v>1976.4</v>
      </c>
      <c r="U65" s="45">
        <f>P65/T65</f>
        <v>0.71286176887269781</v>
      </c>
      <c r="V65" s="44">
        <v>3094.7</v>
      </c>
      <c r="W65" s="44">
        <v>5071.3999999999996</v>
      </c>
      <c r="X65" s="61"/>
      <c r="Y65" s="55"/>
      <c r="Z65" s="61"/>
      <c r="AA65" s="61"/>
      <c r="AC65" s="58"/>
      <c r="AD65" s="58"/>
      <c r="AE65" s="20"/>
      <c r="AF65" s="32"/>
      <c r="AG65" s="20"/>
      <c r="AH65" s="20"/>
      <c r="AJ65" s="5"/>
      <c r="AK65" s="20"/>
      <c r="AM65" s="59"/>
      <c r="AN65" s="59"/>
      <c r="AO65" s="59"/>
      <c r="AP65" s="59"/>
      <c r="AQ65" s="50"/>
      <c r="AR65" s="50"/>
      <c r="AS65" s="57"/>
      <c r="AT65" s="57"/>
      <c r="AU65" s="57"/>
      <c r="AV65" s="57"/>
      <c r="AW65" s="57"/>
      <c r="AX65" s="50"/>
    </row>
    <row r="66" spans="1:83" ht="15">
      <c r="A66" s="49" t="s">
        <v>9</v>
      </c>
      <c r="C66" s="27"/>
      <c r="G66" s="48">
        <v>69</v>
      </c>
      <c r="H66" s="44"/>
      <c r="I66" s="44"/>
      <c r="J66" s="44"/>
      <c r="K66" s="5"/>
      <c r="L66" s="44"/>
      <c r="M66" s="44"/>
      <c r="N66" s="44"/>
      <c r="O66" s="5"/>
      <c r="P66" s="44">
        <v>1364.2</v>
      </c>
      <c r="Q66" s="5">
        <f>$Q65+P66</f>
        <v>126768.14999999998</v>
      </c>
      <c r="R66" s="44">
        <f>T66-P66</f>
        <v>580.70000000000005</v>
      </c>
      <c r="S66" s="12"/>
      <c r="T66" s="20">
        <v>1944.9</v>
      </c>
      <c r="U66" s="45">
        <f>P66/T66</f>
        <v>0.70142423775001284</v>
      </c>
      <c r="V66" s="44">
        <v>3262.5</v>
      </c>
      <c r="W66" s="44">
        <v>5206.8999999999996</v>
      </c>
      <c r="X66" s="61"/>
      <c r="Y66" s="55"/>
      <c r="Z66" s="61"/>
      <c r="AA66" s="61"/>
      <c r="AC66" s="58"/>
      <c r="AD66" s="58"/>
      <c r="AE66" s="20"/>
      <c r="AF66" s="32"/>
      <c r="AG66" s="20"/>
      <c r="AH66" s="20"/>
      <c r="AJ66" s="5"/>
      <c r="AK66" s="20"/>
      <c r="AM66" s="59"/>
      <c r="AN66" s="59"/>
      <c r="AO66" s="59"/>
      <c r="AP66" s="59"/>
      <c r="AQ66" s="50"/>
      <c r="AR66" s="50"/>
      <c r="AS66" s="57"/>
      <c r="AT66" s="57"/>
      <c r="AU66" s="57"/>
      <c r="AV66" s="57"/>
      <c r="AW66" s="57"/>
      <c r="AX66" s="50"/>
    </row>
    <row r="67" spans="1:83" ht="15">
      <c r="A67" s="49" t="s">
        <v>8</v>
      </c>
      <c r="C67" s="27"/>
      <c r="G67" s="48">
        <v>70</v>
      </c>
      <c r="H67" s="44"/>
      <c r="I67" s="44"/>
      <c r="J67" s="44"/>
      <c r="K67" s="5"/>
      <c r="L67" s="44"/>
      <c r="M67" s="44"/>
      <c r="N67" s="44"/>
      <c r="O67" s="5"/>
      <c r="P67" s="44">
        <v>1366.8</v>
      </c>
      <c r="Q67" s="5">
        <f>$Q66+P67</f>
        <v>128134.94999999998</v>
      </c>
      <c r="R67" s="44">
        <f>T67-P67</f>
        <v>590.70000000000005</v>
      </c>
      <c r="S67" s="12"/>
      <c r="T67" s="20">
        <v>1957.5</v>
      </c>
      <c r="U67" s="45">
        <f>P67/T67</f>
        <v>0.6982375478927203</v>
      </c>
      <c r="V67" s="44">
        <v>3378</v>
      </c>
      <c r="W67" s="44">
        <v>5335.5</v>
      </c>
      <c r="X67" s="61"/>
      <c r="Y67" s="55"/>
      <c r="Z67" s="61"/>
      <c r="AA67" s="61"/>
      <c r="AC67" s="58"/>
      <c r="AD67" s="58"/>
      <c r="AE67" s="20"/>
      <c r="AF67" s="32"/>
      <c r="AG67" s="62">
        <f>+AG64/AG56-1</f>
        <v>-0.41766996029655523</v>
      </c>
      <c r="AH67" s="20"/>
      <c r="AJ67" s="5"/>
      <c r="AK67" s="20"/>
      <c r="AM67" s="59"/>
      <c r="AN67" s="59"/>
      <c r="AO67" s="59"/>
      <c r="AP67" s="59"/>
      <c r="AQ67" s="50"/>
      <c r="AR67" s="50"/>
      <c r="AS67" s="57"/>
      <c r="AT67" s="57"/>
      <c r="AU67" s="57"/>
      <c r="AV67" s="57"/>
      <c r="AW67" s="57"/>
      <c r="AX67" s="50"/>
    </row>
    <row r="68" spans="1:83" ht="15">
      <c r="A68" s="49" t="s">
        <v>7</v>
      </c>
      <c r="C68" s="27"/>
      <c r="G68" s="48">
        <v>72</v>
      </c>
      <c r="H68" s="44"/>
      <c r="I68" s="44"/>
      <c r="J68" s="44"/>
      <c r="K68" s="5"/>
      <c r="L68" s="44"/>
      <c r="M68" s="44"/>
      <c r="N68" s="44"/>
      <c r="O68" s="5"/>
      <c r="P68" s="44">
        <v>1419.7</v>
      </c>
      <c r="Q68" s="5">
        <f>$Q67+P68</f>
        <v>129554.64999999998</v>
      </c>
      <c r="R68" s="44">
        <f>T68-P68</f>
        <v>601.29999999999995</v>
      </c>
      <c r="S68" s="12"/>
      <c r="T68" s="20">
        <v>2021</v>
      </c>
      <c r="U68" s="45">
        <f>P68/T68</f>
        <v>0.70247402276100945</v>
      </c>
      <c r="V68" s="44">
        <v>3459.7</v>
      </c>
      <c r="W68" s="44">
        <v>5481</v>
      </c>
      <c r="X68" s="61"/>
      <c r="Y68" s="55"/>
      <c r="Z68" s="61"/>
      <c r="AA68" s="60"/>
      <c r="AC68" s="58"/>
      <c r="AD68" s="58"/>
      <c r="AE68" s="20"/>
      <c r="AF68" s="32"/>
      <c r="AG68" s="20"/>
      <c r="AH68" s="20"/>
      <c r="AJ68" s="5"/>
      <c r="AK68" s="20"/>
      <c r="AM68" s="59"/>
      <c r="AN68" s="59"/>
      <c r="AO68" s="59"/>
      <c r="AP68" s="59"/>
      <c r="AQ68" s="50"/>
      <c r="AR68" s="50"/>
      <c r="AS68" s="57"/>
      <c r="AT68" s="57"/>
      <c r="AU68" s="57"/>
      <c r="AV68" s="57"/>
      <c r="AW68" s="57"/>
      <c r="AX68" s="50"/>
      <c r="BF68" s="34"/>
      <c r="BG68" s="13"/>
      <c r="BH68" s="13"/>
      <c r="BI68" s="13"/>
      <c r="BJ68" s="13"/>
      <c r="BK68" s="13"/>
      <c r="BL68" s="13"/>
      <c r="BM68" s="13"/>
      <c r="BN68" s="13"/>
      <c r="BO68" s="13"/>
      <c r="BP68" s="13"/>
      <c r="BQ68" s="13"/>
      <c r="BR68" s="13"/>
      <c r="BS68" s="13"/>
      <c r="BT68" s="13"/>
      <c r="BU68" s="13"/>
      <c r="BV68" s="13"/>
      <c r="BW68" s="13"/>
      <c r="BX68" s="13"/>
      <c r="BY68" s="13"/>
      <c r="BZ68" s="13"/>
    </row>
    <row r="69" spans="1:83" ht="14.25" customHeight="1">
      <c r="A69" s="49" t="s">
        <v>6</v>
      </c>
      <c r="C69" s="27"/>
      <c r="G69" s="48">
        <v>74</v>
      </c>
      <c r="H69" s="44"/>
      <c r="I69" s="44"/>
      <c r="J69" s="44"/>
      <c r="K69" s="5"/>
      <c r="L69" s="44"/>
      <c r="M69" s="44"/>
      <c r="N69" s="44"/>
      <c r="O69" s="5"/>
      <c r="P69" s="44">
        <v>1424.6</v>
      </c>
      <c r="Q69" s="5">
        <f>$Q68+P69</f>
        <v>130979.24999999999</v>
      </c>
      <c r="R69" s="44">
        <f>T69-P69</f>
        <v>618.40000000000009</v>
      </c>
      <c r="T69" s="20">
        <v>2043</v>
      </c>
      <c r="U69" s="45">
        <f>P69/T69</f>
        <v>0.69730788056779247</v>
      </c>
      <c r="V69" s="44">
        <v>3544.7</v>
      </c>
      <c r="W69" s="44">
        <v>5588</v>
      </c>
      <c r="X69" s="55"/>
      <c r="Y69" s="55"/>
      <c r="Z69" s="54"/>
      <c r="AA69" s="54"/>
      <c r="AC69" s="58"/>
      <c r="AD69" s="58"/>
      <c r="AE69" s="20"/>
      <c r="AF69" s="32"/>
      <c r="AG69" s="20"/>
      <c r="AH69" s="20"/>
      <c r="AJ69" s="5"/>
      <c r="AK69" s="20"/>
      <c r="AP69" s="51"/>
      <c r="AQ69" s="50"/>
      <c r="AR69" s="50"/>
      <c r="AS69" s="57"/>
      <c r="AT69" s="57"/>
      <c r="AU69" s="57"/>
      <c r="AV69" s="57"/>
      <c r="AW69" s="57"/>
      <c r="AX69" s="50"/>
    </row>
    <row r="70" spans="1:83" ht="15">
      <c r="A70" s="49" t="s">
        <v>5</v>
      </c>
      <c r="G70" s="48">
        <v>75</v>
      </c>
      <c r="H70" s="44"/>
      <c r="I70" s="44"/>
      <c r="J70" s="44"/>
      <c r="K70" s="12"/>
      <c r="L70" s="44"/>
      <c r="M70" s="44"/>
      <c r="N70" s="44"/>
      <c r="O70" s="5"/>
      <c r="P70" s="44">
        <v>1483.7</v>
      </c>
      <c r="Q70" s="5">
        <f>$Q69+P70</f>
        <v>132462.94999999998</v>
      </c>
      <c r="R70" s="44">
        <f>T70-P70</f>
        <v>633.29999999999995</v>
      </c>
      <c r="T70" s="6">
        <v>2117</v>
      </c>
      <c r="U70" s="45">
        <f>P70/T70</f>
        <v>0.70085025980160609</v>
      </c>
      <c r="V70" s="44">
        <v>3632</v>
      </c>
      <c r="W70" s="44">
        <v>5749</v>
      </c>
      <c r="X70" s="56"/>
      <c r="Y70" s="55"/>
      <c r="Z70" s="54"/>
      <c r="AA70" s="54"/>
      <c r="AC70" s="53">
        <f>+AC59/AC49</f>
        <v>1.542078414010905</v>
      </c>
      <c r="AF70" s="52">
        <f>AVERAGE(AF52:AF61)</f>
        <v>774.44304999999997</v>
      </c>
      <c r="AG70" s="2" t="s">
        <v>4</v>
      </c>
      <c r="AH70" s="2"/>
      <c r="AP70" s="51"/>
      <c r="AQ70" s="50"/>
      <c r="AR70" s="50"/>
      <c r="AS70" s="50"/>
      <c r="AT70" s="50"/>
      <c r="AU70" s="50"/>
      <c r="AV70" s="50"/>
      <c r="AW70" s="50"/>
      <c r="AX70" s="50"/>
      <c r="BD70" s="13"/>
      <c r="BE70" s="13"/>
      <c r="BF70" s="13"/>
      <c r="BG70" s="13"/>
      <c r="BH70" s="13"/>
      <c r="BI70" s="13"/>
      <c r="BJ70" s="13"/>
      <c r="BK70" s="13"/>
      <c r="BL70" s="13"/>
      <c r="BM70" s="13"/>
      <c r="BN70" s="13"/>
      <c r="BO70" s="13"/>
      <c r="BP70" s="13"/>
      <c r="BQ70" s="13"/>
      <c r="BR70" s="13"/>
      <c r="BS70" s="13"/>
      <c r="BT70" s="13"/>
      <c r="BU70" s="13"/>
      <c r="BV70" s="13"/>
      <c r="BW70" s="13"/>
      <c r="BX70" s="13"/>
      <c r="BY70" s="13"/>
    </row>
    <row r="71" spans="1:83" ht="15">
      <c r="A71" s="49" t="s">
        <v>3</v>
      </c>
      <c r="G71" s="48">
        <v>77</v>
      </c>
      <c r="H71" s="44"/>
      <c r="I71" s="44"/>
      <c r="J71" s="44"/>
      <c r="L71" s="44"/>
      <c r="M71" s="44"/>
      <c r="N71" s="44"/>
      <c r="P71" s="44">
        <v>1527.9</v>
      </c>
      <c r="Q71" s="5">
        <f>$Q70+P71</f>
        <v>133990.84999999998</v>
      </c>
      <c r="R71" s="44">
        <f>T71-P71</f>
        <v>644.5</v>
      </c>
      <c r="T71" s="6">
        <v>2172.4</v>
      </c>
      <c r="U71" s="45">
        <f>P71/T71</f>
        <v>0.70332351316516295</v>
      </c>
      <c r="V71" s="44">
        <v>3720.8</v>
      </c>
      <c r="W71" s="44">
        <v>5893.4</v>
      </c>
      <c r="AC71" s="47">
        <f>+AC70^(1/10)</f>
        <v>1.0442648161375396</v>
      </c>
      <c r="AG71" s="32"/>
      <c r="AH71" s="32"/>
      <c r="AY71" s="13"/>
      <c r="AZ71" s="13"/>
      <c r="BA71" s="13"/>
      <c r="BB71" s="13"/>
      <c r="BC71" s="13"/>
      <c r="BD71" s="13"/>
      <c r="BF71" s="13"/>
      <c r="BG71" s="13"/>
      <c r="BH71" s="13"/>
      <c r="BI71" s="13"/>
      <c r="BJ71" s="13"/>
      <c r="BK71" s="13"/>
      <c r="BL71" s="13"/>
      <c r="BM71" s="13"/>
      <c r="BN71" s="13"/>
      <c r="BO71" s="13"/>
      <c r="BP71" s="13"/>
      <c r="BQ71" s="13"/>
      <c r="BR71" s="13"/>
      <c r="BS71" s="13"/>
      <c r="BT71" s="13"/>
      <c r="BU71" s="13"/>
      <c r="BV71" s="13"/>
      <c r="BW71" s="13"/>
      <c r="BX71" s="13"/>
      <c r="BY71" s="13"/>
    </row>
    <row r="72" spans="1:83" ht="15">
      <c r="A72" s="11" t="s">
        <v>2</v>
      </c>
      <c r="E72" s="46">
        <v>2.2499999999999999E-2</v>
      </c>
      <c r="G72" s="12"/>
      <c r="P72" s="44">
        <v>1600.3</v>
      </c>
      <c r="Q72" s="5">
        <f>$Q71+P72</f>
        <v>135591.14999999997</v>
      </c>
      <c r="R72" s="44">
        <f>T72-P72</f>
        <v>660.39999999999986</v>
      </c>
      <c r="T72" s="6">
        <v>2260.6999999999998</v>
      </c>
      <c r="U72" s="45">
        <f>P72/T72</f>
        <v>0.7078780908568143</v>
      </c>
      <c r="V72" s="44">
        <f>+W72-P72-R72</f>
        <v>3811</v>
      </c>
      <c r="W72" s="44">
        <v>6071.7</v>
      </c>
      <c r="AC72" s="43">
        <f>+AC71-1</f>
        <v>4.4264816137539631E-2</v>
      </c>
      <c r="AG72" s="32"/>
      <c r="AH72" s="32"/>
      <c r="BD72" s="13"/>
      <c r="BE72" s="13"/>
      <c r="BF72" s="13"/>
      <c r="BG72" s="13"/>
      <c r="BJ72" s="13"/>
    </row>
    <row r="73" spans="1:83" ht="15">
      <c r="G73" s="12"/>
      <c r="K73" s="42"/>
      <c r="L73" s="42"/>
      <c r="P73" s="41" t="s">
        <v>1</v>
      </c>
      <c r="Q73" s="41"/>
      <c r="R73" s="41"/>
      <c r="AC73" s="40"/>
      <c r="AG73" s="32"/>
      <c r="AH73" s="32"/>
      <c r="AY73" s="13"/>
      <c r="BD73" s="13"/>
      <c r="BF73" s="13"/>
      <c r="BG73" s="13"/>
      <c r="BH73" s="13"/>
      <c r="BJ73" s="13"/>
      <c r="BK73" s="13"/>
      <c r="BM73" s="13"/>
      <c r="BN73" s="13"/>
      <c r="BO73" s="13"/>
      <c r="BP73" s="13"/>
      <c r="BQ73" s="13"/>
      <c r="BR73" s="13"/>
      <c r="BS73" s="13"/>
      <c r="BT73" s="13"/>
      <c r="BU73" s="13"/>
      <c r="BV73" s="13"/>
      <c r="BW73" s="13"/>
      <c r="BX73" s="13"/>
      <c r="BY73" s="13"/>
      <c r="BZ73" s="13"/>
      <c r="CA73" s="13"/>
      <c r="CB73" s="13"/>
      <c r="CC73" s="13"/>
      <c r="CD73" s="13"/>
      <c r="CE73" s="13"/>
    </row>
    <row r="74" spans="1:83" ht="15">
      <c r="G74" s="12"/>
      <c r="S74" s="34"/>
      <c r="AG74" s="32"/>
      <c r="AH74" s="32"/>
      <c r="AJ74" s="39"/>
      <c r="AY74" s="13"/>
      <c r="BD74" s="13"/>
      <c r="BE74" s="13"/>
      <c r="BF74" s="13"/>
      <c r="BG74" s="13"/>
      <c r="BH74" s="13"/>
    </row>
    <row r="75" spans="1:83" ht="15">
      <c r="G75" s="12"/>
      <c r="AD75" s="37" t="s">
        <v>0</v>
      </c>
      <c r="AE75" s="37"/>
      <c r="AF75" s="38"/>
      <c r="AG75" s="37"/>
      <c r="AH75" s="37"/>
      <c r="AI75" s="37"/>
      <c r="AJ75" s="37"/>
      <c r="AY75" s="13"/>
      <c r="BB75" s="13"/>
      <c r="BD75" s="13"/>
      <c r="BF75" s="13"/>
      <c r="BG75" s="13"/>
      <c r="BH75" s="13"/>
      <c r="BJ75" s="13"/>
      <c r="BK75" s="13"/>
      <c r="BM75" s="13"/>
      <c r="BN75" s="13"/>
      <c r="BO75" s="13"/>
      <c r="BP75" s="13"/>
      <c r="BQ75" s="13"/>
      <c r="BR75" s="13"/>
      <c r="BS75" s="13"/>
      <c r="BT75" s="13"/>
      <c r="BU75" s="13"/>
      <c r="BV75" s="13"/>
    </row>
    <row r="76" spans="1:83" ht="15">
      <c r="G76" s="12"/>
      <c r="R76" s="34">
        <f>T64-P64</f>
        <v>557.5</v>
      </c>
      <c r="U76" s="34"/>
      <c r="AD76" s="35"/>
      <c r="AG76" s="32"/>
      <c r="AH76" s="32"/>
      <c r="AY76" s="13"/>
      <c r="BD76" s="13"/>
      <c r="BE76" s="13"/>
      <c r="BF76" s="13"/>
      <c r="BG76" s="13"/>
      <c r="BH76" s="13"/>
    </row>
    <row r="77" spans="1:83" ht="15">
      <c r="G77" s="12"/>
      <c r="U77" s="34"/>
      <c r="AD77" s="35"/>
      <c r="AG77" s="32"/>
      <c r="AH77" s="32"/>
      <c r="AY77" s="13"/>
      <c r="BB77" s="13"/>
      <c r="BD77" s="13"/>
      <c r="BF77" s="13"/>
      <c r="BG77" s="13"/>
      <c r="BH77" s="13"/>
      <c r="BL77" s="13"/>
    </row>
    <row r="78" spans="1:83" ht="15">
      <c r="G78" s="12"/>
      <c r="U78" s="34"/>
      <c r="AD78" s="35"/>
      <c r="AG78" s="32"/>
      <c r="AH78" s="32"/>
      <c r="AY78" s="13"/>
      <c r="BB78" s="13"/>
      <c r="BD78" s="13"/>
      <c r="BE78" s="13"/>
      <c r="BF78" s="13"/>
      <c r="BG78" s="13"/>
      <c r="BH78" s="13"/>
      <c r="BL78" s="13"/>
    </row>
    <row r="79" spans="1:83" ht="15">
      <c r="G79" s="12"/>
      <c r="AC79" s="36"/>
      <c r="AD79" s="35"/>
      <c r="AG79" s="32"/>
      <c r="AH79" s="32"/>
      <c r="AY79" s="13"/>
      <c r="BB79" s="13"/>
      <c r="BD79" s="13"/>
      <c r="BF79" s="13"/>
      <c r="BG79" s="13"/>
      <c r="BH79" s="13"/>
      <c r="BL79" s="13"/>
    </row>
    <row r="80" spans="1:83" ht="15">
      <c r="G80" s="12"/>
      <c r="O80" s="34"/>
      <c r="P80" s="33"/>
      <c r="AG80" s="32"/>
      <c r="AH80" s="32"/>
      <c r="AY80" s="13"/>
      <c r="BB80" s="13"/>
      <c r="BD80" s="13"/>
      <c r="BE80" s="13"/>
      <c r="BF80" s="13"/>
      <c r="BG80" s="13"/>
      <c r="BH80" s="13"/>
      <c r="BL80" s="13"/>
    </row>
    <row r="81" spans="1:72" ht="15">
      <c r="G81" s="12"/>
      <c r="AY81" s="13"/>
      <c r="BB81" s="13"/>
      <c r="BD81" s="13"/>
      <c r="BF81" s="13"/>
      <c r="BG81" s="13"/>
      <c r="BH81" s="13"/>
      <c r="BL81" s="13"/>
    </row>
    <row r="82" spans="1:72" s="16" customFormat="1" ht="15">
      <c r="A82" s="23"/>
      <c r="C82" s="10"/>
      <c r="D82" s="26"/>
      <c r="E82" s="25"/>
      <c r="F82" s="24"/>
      <c r="G82" s="24"/>
      <c r="H82" s="24"/>
      <c r="I82" s="24"/>
      <c r="J82" s="24"/>
      <c r="K82" s="24"/>
      <c r="L82" s="24"/>
      <c r="M82" s="24"/>
      <c r="N82" s="24"/>
      <c r="O82" s="24"/>
      <c r="P82" s="24"/>
      <c r="Q82" s="24"/>
      <c r="R82" s="24"/>
      <c r="S82" s="24"/>
      <c r="T82" s="24"/>
      <c r="U82" s="24"/>
      <c r="V82" s="29"/>
      <c r="W82" s="29"/>
      <c r="X82" s="29"/>
      <c r="Y82" s="29"/>
      <c r="Z82" s="24"/>
      <c r="AA82" s="24"/>
      <c r="AB82" s="4"/>
      <c r="AC82" s="24"/>
      <c r="AD82" s="24"/>
      <c r="AE82" s="24"/>
      <c r="AF82" s="24"/>
      <c r="AG82" s="24"/>
      <c r="AH82" s="24"/>
      <c r="AI82" s="24"/>
      <c r="AJ82" s="24"/>
      <c r="AK82" s="24"/>
      <c r="AL82" s="24"/>
      <c r="AM82" s="24"/>
      <c r="AN82" s="24"/>
      <c r="AO82" s="24"/>
      <c r="AP82" s="24"/>
      <c r="AQ82" s="24"/>
      <c r="AR82" s="24"/>
      <c r="AS82" s="24"/>
      <c r="AT82" s="24"/>
      <c r="AU82" s="24"/>
      <c r="AV82" s="24"/>
      <c r="AW82" s="24"/>
      <c r="AX82"/>
      <c r="AY82" s="13"/>
      <c r="AZ82" s="1"/>
      <c r="BA82"/>
      <c r="BB82" s="13"/>
      <c r="BC82"/>
      <c r="BD82" s="13"/>
      <c r="BE82" s="13"/>
      <c r="BF82" s="13"/>
      <c r="BG82" s="13"/>
      <c r="BH82" s="13"/>
      <c r="BI82"/>
      <c r="BJ82" s="24"/>
      <c r="BK82"/>
      <c r="BL82" s="13"/>
      <c r="BM82"/>
      <c r="BN82" s="24"/>
      <c r="BO82" s="24"/>
      <c r="BP82" s="24"/>
      <c r="BQ82" s="24"/>
      <c r="BR82" s="24"/>
      <c r="BS82" s="24"/>
      <c r="BT82" s="24"/>
    </row>
    <row r="83" spans="1:72" ht="15">
      <c r="G83" s="12"/>
      <c r="P83" s="31"/>
      <c r="AY83" s="13"/>
      <c r="BB83" s="13"/>
      <c r="BD83" s="13"/>
      <c r="BF83" s="13"/>
      <c r="BG83" s="13"/>
      <c r="BH83" s="13"/>
      <c r="BL83" s="13"/>
    </row>
    <row r="84" spans="1:72" ht="15">
      <c r="G84" s="12"/>
      <c r="AY84" s="13"/>
      <c r="BB84" s="13"/>
      <c r="BD84" s="13"/>
      <c r="BE84" s="13"/>
      <c r="BF84" s="13"/>
      <c r="BG84" s="13"/>
      <c r="BH84" s="13"/>
      <c r="BL84" s="13"/>
    </row>
    <row r="85" spans="1:72" s="16" customFormat="1" ht="15">
      <c r="A85" s="28"/>
      <c r="C85" s="27"/>
      <c r="D85" s="30"/>
      <c r="E85" s="25"/>
      <c r="F85" s="28"/>
      <c r="G85" s="28"/>
      <c r="H85" s="28"/>
      <c r="I85" s="28"/>
      <c r="J85" s="28"/>
      <c r="K85" s="28"/>
      <c r="L85" s="28"/>
      <c r="M85" s="28"/>
      <c r="N85" s="28"/>
      <c r="O85" s="28"/>
      <c r="P85" s="28"/>
      <c r="Q85" s="28"/>
      <c r="R85" s="28"/>
      <c r="S85" s="28"/>
      <c r="T85" s="28"/>
      <c r="U85" s="28"/>
      <c r="V85" s="29"/>
      <c r="W85" s="29"/>
      <c r="X85" s="29"/>
      <c r="Y85" s="29"/>
      <c r="Z85" s="28"/>
      <c r="AA85" s="28"/>
      <c r="AB85" s="4"/>
      <c r="AC85" s="28"/>
      <c r="AD85" s="28"/>
      <c r="AE85" s="28"/>
      <c r="AF85" s="28"/>
      <c r="AG85" s="28"/>
      <c r="AH85" s="28"/>
      <c r="AI85" s="28"/>
      <c r="AJ85" s="28"/>
      <c r="AK85" s="28"/>
      <c r="AL85" s="28"/>
      <c r="AM85" s="28"/>
      <c r="AN85" s="28"/>
      <c r="AO85" s="28"/>
      <c r="AP85" s="28"/>
      <c r="AQ85" s="28"/>
      <c r="AR85" s="28"/>
      <c r="AS85" s="28"/>
      <c r="AT85" s="28"/>
      <c r="AU85" s="28"/>
      <c r="AV85" s="28"/>
      <c r="AW85" s="28"/>
      <c r="AX85"/>
      <c r="AY85" s="13"/>
      <c r="AZ85" s="1"/>
      <c r="BA85"/>
      <c r="BB85" s="13"/>
      <c r="BC85"/>
      <c r="BD85" s="13"/>
      <c r="BE85"/>
      <c r="BF85" s="13"/>
      <c r="BG85" s="13"/>
      <c r="BH85" s="13"/>
      <c r="BI85"/>
      <c r="BJ85" s="28"/>
      <c r="BK85"/>
      <c r="BL85" s="13"/>
      <c r="BM85"/>
      <c r="BN85" s="28"/>
      <c r="BO85" s="28"/>
      <c r="BP85" s="28"/>
      <c r="BQ85" s="28"/>
      <c r="BR85" s="28"/>
      <c r="BS85" s="28"/>
      <c r="BT85" s="28"/>
    </row>
    <row r="86" spans="1:72" s="16" customFormat="1" ht="15">
      <c r="A86" s="23"/>
      <c r="C86" s="10"/>
      <c r="D86" s="22"/>
      <c r="E86" s="21"/>
      <c r="P86" s="19"/>
      <c r="T86" s="20"/>
      <c r="V86" s="18"/>
      <c r="W86" s="18"/>
      <c r="X86" s="18"/>
      <c r="Y86" s="18"/>
      <c r="AB86" s="4"/>
      <c r="AC86" s="17"/>
      <c r="AF86" s="19"/>
      <c r="AI86" s="18"/>
      <c r="AJ86" s="17"/>
      <c r="AX86"/>
      <c r="AY86" s="13"/>
      <c r="AZ86" s="1"/>
      <c r="BA86"/>
      <c r="BB86" s="13"/>
      <c r="BC86"/>
      <c r="BD86" s="13"/>
      <c r="BE86" s="13"/>
      <c r="BF86" s="13"/>
      <c r="BG86" s="13"/>
      <c r="BH86" s="13"/>
      <c r="BI86"/>
      <c r="BK86"/>
      <c r="BL86" s="13"/>
      <c r="BM86"/>
    </row>
    <row r="87" spans="1:72" s="16" customFormat="1" ht="15">
      <c r="A87" s="24"/>
      <c r="C87" s="27"/>
      <c r="D87" s="26"/>
      <c r="E87" s="25"/>
      <c r="F87" s="24"/>
      <c r="G87" s="24"/>
      <c r="H87" s="24"/>
      <c r="I87" s="24"/>
      <c r="J87" s="24"/>
      <c r="K87" s="24"/>
      <c r="L87" s="24"/>
      <c r="P87" s="19"/>
      <c r="T87" s="20"/>
      <c r="V87" s="18"/>
      <c r="W87" s="18"/>
      <c r="X87" s="18"/>
      <c r="Y87" s="18"/>
      <c r="AB87" s="4"/>
      <c r="AC87" s="17"/>
      <c r="AF87" s="19"/>
      <c r="AI87" s="18"/>
      <c r="AJ87" s="17"/>
      <c r="AX87"/>
      <c r="AY87" s="13"/>
      <c r="AZ87" s="1"/>
      <c r="BA87"/>
      <c r="BB87" s="13"/>
      <c r="BC87"/>
      <c r="BD87" s="13"/>
      <c r="BE87"/>
      <c r="BF87" s="13"/>
      <c r="BG87" s="13"/>
      <c r="BH87" s="13"/>
      <c r="BI87"/>
      <c r="BK87"/>
      <c r="BL87" s="13"/>
      <c r="BM87"/>
    </row>
    <row r="88" spans="1:72" s="16" customFormat="1" ht="15">
      <c r="A88" s="23"/>
      <c r="C88" s="10"/>
      <c r="D88" s="22"/>
      <c r="E88" s="21"/>
      <c r="P88" s="19"/>
      <c r="T88" s="20"/>
      <c r="V88" s="18"/>
      <c r="W88" s="18"/>
      <c r="X88" s="18"/>
      <c r="Y88" s="18"/>
      <c r="AB88" s="4"/>
      <c r="AC88" s="17"/>
      <c r="AF88" s="19"/>
      <c r="AI88" s="18"/>
      <c r="AJ88" s="17"/>
      <c r="AX88"/>
      <c r="AY88" s="13"/>
      <c r="AZ88" s="1"/>
      <c r="BA88"/>
      <c r="BB88" s="13"/>
      <c r="BC88"/>
      <c r="BD88" s="13"/>
      <c r="BE88" s="13"/>
      <c r="BF88" s="13"/>
      <c r="BG88" s="13"/>
      <c r="BH88" s="13"/>
      <c r="BI88"/>
      <c r="BK88"/>
      <c r="BL88" s="13"/>
      <c r="BM88"/>
    </row>
    <row r="89" spans="1:72" ht="15">
      <c r="G89" s="12"/>
      <c r="AY89" s="13"/>
      <c r="BB89" s="13"/>
      <c r="BD89" s="13"/>
      <c r="BF89" s="13"/>
      <c r="BG89" s="13"/>
      <c r="BH89" s="13"/>
      <c r="BL89" s="13"/>
    </row>
    <row r="90" spans="1:72" ht="15">
      <c r="G90" s="12"/>
      <c r="AY90" s="13"/>
      <c r="BB90" s="13"/>
      <c r="BD90" s="13"/>
      <c r="BE90" s="13"/>
      <c r="BF90" s="13"/>
      <c r="BG90" s="13"/>
      <c r="BH90" s="13"/>
      <c r="BL90" s="13"/>
    </row>
    <row r="91" spans="1:72" ht="15">
      <c r="G91" s="12"/>
      <c r="AY91" s="13"/>
      <c r="BB91" s="13"/>
      <c r="BD91" s="13"/>
      <c r="BF91" s="13"/>
      <c r="BH91" s="13"/>
      <c r="BL91" s="13"/>
    </row>
    <row r="92" spans="1:72" ht="15">
      <c r="G92" s="12"/>
      <c r="AY92" s="13"/>
      <c r="BB92" s="13"/>
      <c r="BF92" s="13"/>
      <c r="BH92" s="13"/>
      <c r="BL92" s="13"/>
    </row>
    <row r="93" spans="1:72" ht="15">
      <c r="G93" s="12"/>
      <c r="AY93" s="13"/>
      <c r="BB93" s="13"/>
      <c r="BG93" s="13"/>
      <c r="BH93" s="13"/>
      <c r="BL93" s="13"/>
    </row>
    <row r="94" spans="1:72" ht="15">
      <c r="G94" s="12"/>
      <c r="BB94" s="13"/>
      <c r="BH94" s="13"/>
      <c r="BL94" s="13"/>
    </row>
    <row r="95" spans="1:72" ht="15.75">
      <c r="G95" s="12"/>
      <c r="H95" s="14"/>
      <c r="I95" s="14"/>
      <c r="J95" s="15"/>
      <c r="K95" s="14"/>
      <c r="L95" s="14"/>
      <c r="M95" s="14"/>
      <c r="N95" s="14"/>
      <c r="O95" s="14"/>
      <c r="P95" s="14"/>
      <c r="Q95" s="14"/>
      <c r="R95" s="14"/>
      <c r="S95" s="14"/>
      <c r="T95" s="14"/>
      <c r="BB95" s="13"/>
      <c r="BL95" s="13"/>
    </row>
    <row r="96" spans="1:72" ht="15">
      <c r="G96" s="12"/>
      <c r="BB96" s="13"/>
      <c r="BL96" s="13"/>
    </row>
    <row r="97" spans="7:54" customFormat="1" ht="15">
      <c r="G97" s="12"/>
      <c r="P97" s="3"/>
      <c r="T97" s="6"/>
      <c r="V97" s="5"/>
      <c r="W97" s="5"/>
      <c r="X97" s="1"/>
      <c r="Y97" s="1"/>
      <c r="AB97" s="4"/>
      <c r="AC97" s="2"/>
      <c r="AF97" s="3"/>
      <c r="AI97" s="1"/>
      <c r="AJ97" s="2"/>
      <c r="AY97" s="1"/>
      <c r="AZ97" s="1"/>
      <c r="BB97" s="13"/>
    </row>
    <row r="98" spans="7:54" customFormat="1">
      <c r="G98" s="12"/>
      <c r="P98" s="3"/>
      <c r="T98" s="6"/>
      <c r="V98" s="5"/>
      <c r="W98" s="5"/>
      <c r="X98" s="1"/>
      <c r="Y98" s="1"/>
      <c r="AB98" s="4"/>
      <c r="AC98" s="2"/>
      <c r="AF98" s="3"/>
      <c r="AI98" s="1"/>
      <c r="AJ98" s="2"/>
      <c r="AY98" s="1"/>
      <c r="AZ98" s="1"/>
    </row>
    <row r="99" spans="7:54" customFormat="1">
      <c r="G99" s="12"/>
      <c r="P99" s="3"/>
      <c r="T99" s="6"/>
      <c r="V99" s="5"/>
      <c r="W99" s="5"/>
      <c r="X99" s="1"/>
      <c r="Y99" s="1"/>
      <c r="AB99" s="4"/>
      <c r="AC99" s="2"/>
      <c r="AF99" s="3"/>
      <c r="AI99" s="1"/>
      <c r="AJ99" s="2"/>
      <c r="AY99" s="1"/>
      <c r="AZ99" s="1"/>
    </row>
    <row r="100" spans="7:54" customFormat="1">
      <c r="G100" s="12"/>
      <c r="P100" s="3"/>
      <c r="T100" s="6"/>
      <c r="V100" s="5"/>
      <c r="W100" s="5"/>
      <c r="X100" s="1"/>
      <c r="Y100" s="1"/>
      <c r="AB100" s="4"/>
      <c r="AC100" s="2"/>
      <c r="AF100" s="3"/>
      <c r="AI100" s="1"/>
      <c r="AJ100" s="2"/>
      <c r="AY100" s="1"/>
      <c r="AZ100" s="1"/>
    </row>
    <row r="101" spans="7:54" customFormat="1">
      <c r="G101" s="12"/>
      <c r="P101" s="3"/>
      <c r="T101" s="6"/>
      <c r="V101" s="5"/>
      <c r="W101" s="5"/>
      <c r="X101" s="1"/>
      <c r="Y101" s="1"/>
      <c r="AB101" s="4"/>
      <c r="AC101" s="2"/>
      <c r="AF101" s="3"/>
      <c r="AI101" s="1"/>
      <c r="AJ101" s="2"/>
      <c r="AY101" s="1"/>
      <c r="AZ101" s="1"/>
    </row>
    <row r="102" spans="7:54" customFormat="1">
      <c r="G102" s="12"/>
      <c r="P102" s="3"/>
      <c r="T102" s="6"/>
      <c r="V102" s="5"/>
      <c r="W102" s="5"/>
      <c r="X102" s="1"/>
      <c r="Y102" s="1"/>
      <c r="AB102" s="4"/>
      <c r="AC102" s="2"/>
      <c r="AF102" s="3"/>
      <c r="AI102" s="1"/>
      <c r="AJ102" s="2"/>
      <c r="AY102" s="1"/>
      <c r="AZ102" s="1"/>
    </row>
    <row r="103" spans="7:54" customFormat="1">
      <c r="G103" s="12"/>
      <c r="P103" s="3"/>
      <c r="T103" s="6"/>
      <c r="V103" s="5"/>
      <c r="W103" s="5"/>
      <c r="X103" s="1"/>
      <c r="Y103" s="1"/>
      <c r="AB103" s="4"/>
      <c r="AC103" s="2"/>
      <c r="AF103" s="3"/>
      <c r="AI103" s="1"/>
      <c r="AJ103" s="2"/>
      <c r="AY103" s="1"/>
      <c r="AZ103" s="1"/>
    </row>
    <row r="104" spans="7:54" customFormat="1">
      <c r="G104" s="12"/>
      <c r="P104" s="3"/>
      <c r="T104" s="6"/>
      <c r="V104" s="5"/>
      <c r="W104" s="5"/>
      <c r="X104" s="1"/>
      <c r="Y104" s="1"/>
      <c r="AB104" s="4"/>
      <c r="AC104" s="2"/>
      <c r="AF104" s="3"/>
      <c r="AI104" s="1"/>
      <c r="AJ104" s="2"/>
      <c r="AY104" s="1"/>
      <c r="AZ104" s="1"/>
    </row>
    <row r="105" spans="7:54" customFormat="1">
      <c r="G105" s="12"/>
      <c r="P105" s="3"/>
      <c r="T105" s="6"/>
      <c r="V105" s="5"/>
      <c r="W105" s="5"/>
      <c r="X105" s="1"/>
      <c r="Y105" s="1"/>
      <c r="AB105" s="4"/>
      <c r="AC105" s="2"/>
      <c r="AF105" s="3"/>
      <c r="AI105" s="1"/>
      <c r="AJ105" s="2"/>
      <c r="AY105" s="1"/>
      <c r="AZ105" s="1"/>
    </row>
    <row r="106" spans="7:54" customFormat="1">
      <c r="G106" s="12"/>
      <c r="P106" s="3"/>
      <c r="T106" s="6"/>
      <c r="V106" s="5"/>
      <c r="W106" s="5"/>
      <c r="X106" s="1"/>
      <c r="Y106" s="1"/>
      <c r="AB106" s="4"/>
      <c r="AC106" s="2"/>
      <c r="AF106" s="3"/>
      <c r="AI106" s="1"/>
      <c r="AJ106" s="2"/>
      <c r="AY106" s="1"/>
      <c r="AZ106" s="1"/>
    </row>
    <row r="107" spans="7:54" customFormat="1">
      <c r="G107" s="12"/>
      <c r="P107" s="3"/>
      <c r="T107" s="6"/>
      <c r="V107" s="5"/>
      <c r="W107" s="5"/>
      <c r="X107" s="1"/>
      <c r="Y107" s="1"/>
      <c r="AB107" s="4"/>
      <c r="AC107" s="2"/>
      <c r="AF107" s="3"/>
      <c r="AI107" s="1"/>
      <c r="AJ107" s="2"/>
      <c r="AY107" s="1"/>
      <c r="AZ107" s="1"/>
    </row>
    <row r="108" spans="7:54" customFormat="1">
      <c r="G108" s="12"/>
      <c r="P108" s="3"/>
      <c r="T108" s="6"/>
      <c r="V108" s="5"/>
      <c r="W108" s="5"/>
      <c r="X108" s="1"/>
      <c r="Y108" s="1"/>
      <c r="AB108" s="4"/>
      <c r="AC108" s="2"/>
      <c r="AF108" s="3"/>
      <c r="AI108" s="1"/>
      <c r="AJ108" s="2"/>
      <c r="AY108" s="1"/>
      <c r="AZ108" s="1"/>
    </row>
    <row r="109" spans="7:54" customFormat="1">
      <c r="G109" s="12"/>
      <c r="P109" s="3"/>
      <c r="T109" s="6"/>
      <c r="V109" s="5"/>
      <c r="W109" s="5"/>
      <c r="X109" s="1"/>
      <c r="Y109" s="1"/>
      <c r="AB109" s="4"/>
      <c r="AC109" s="2"/>
      <c r="AF109" s="3"/>
      <c r="AI109" s="1"/>
      <c r="AJ109" s="2"/>
      <c r="AY109" s="1"/>
      <c r="AZ109" s="1"/>
    </row>
    <row r="110" spans="7:54" customFormat="1">
      <c r="G110" s="12"/>
      <c r="P110" s="3"/>
      <c r="T110" s="6"/>
      <c r="V110" s="5"/>
      <c r="W110" s="5"/>
      <c r="X110" s="1"/>
      <c r="Y110" s="1"/>
      <c r="AB110" s="4"/>
      <c r="AC110" s="2"/>
      <c r="AF110" s="3"/>
      <c r="AI110" s="1"/>
      <c r="AJ110" s="2"/>
      <c r="AY110" s="1"/>
      <c r="AZ110" s="1"/>
    </row>
    <row r="111" spans="7:54" customFormat="1">
      <c r="G111" s="12"/>
      <c r="P111" s="3"/>
      <c r="T111" s="6"/>
      <c r="V111" s="5"/>
      <c r="W111" s="5"/>
      <c r="X111" s="1"/>
      <c r="Y111" s="1"/>
      <c r="AB111" s="4"/>
      <c r="AC111" s="2"/>
      <c r="AF111" s="3"/>
      <c r="AI111" s="1"/>
      <c r="AJ111" s="2"/>
      <c r="AY111" s="1"/>
      <c r="AZ111" s="1"/>
    </row>
    <row r="112" spans="7:54" customFormat="1">
      <c r="G112" s="12"/>
      <c r="P112" s="3"/>
      <c r="T112" s="6"/>
      <c r="V112" s="5"/>
      <c r="W112" s="5"/>
      <c r="X112" s="1"/>
      <c r="Y112" s="1"/>
      <c r="AB112" s="4"/>
      <c r="AC112" s="2"/>
      <c r="AF112" s="3"/>
      <c r="AI112" s="1"/>
      <c r="AJ112" s="2"/>
      <c r="AY112" s="1"/>
      <c r="AZ112" s="1"/>
    </row>
    <row r="113" spans="7:7" customFormat="1">
      <c r="G113" s="12"/>
    </row>
    <row r="114" spans="7:7" customFormat="1">
      <c r="G114" s="12"/>
    </row>
    <row r="115" spans="7:7" customFormat="1">
      <c r="G115" s="12"/>
    </row>
    <row r="116" spans="7:7" customFormat="1">
      <c r="G116" s="12"/>
    </row>
    <row r="117" spans="7:7" customFormat="1">
      <c r="G117" s="12"/>
    </row>
    <row r="118" spans="7:7" customFormat="1">
      <c r="G118" s="12"/>
    </row>
    <row r="119" spans="7:7" customFormat="1">
      <c r="G119" s="12"/>
    </row>
    <row r="120" spans="7:7" customFormat="1">
      <c r="G120" s="12"/>
    </row>
    <row r="121" spans="7:7" customFormat="1">
      <c r="G121" s="12"/>
    </row>
    <row r="122" spans="7:7" customFormat="1">
      <c r="G122" s="12"/>
    </row>
    <row r="123" spans="7:7" customFormat="1">
      <c r="G123" s="12"/>
    </row>
    <row r="124" spans="7:7" customFormat="1">
      <c r="G124" s="12"/>
    </row>
    <row r="125" spans="7:7" customFormat="1">
      <c r="G125" s="12"/>
    </row>
    <row r="126" spans="7:7" customFormat="1">
      <c r="G126" s="12"/>
    </row>
    <row r="127" spans="7:7" customFormat="1">
      <c r="G127" s="12"/>
    </row>
    <row r="128" spans="7:7" customFormat="1">
      <c r="G128" s="12"/>
    </row>
    <row r="129" spans="7:7" customFormat="1">
      <c r="G129" s="12"/>
    </row>
    <row r="130" spans="7:7" customFormat="1">
      <c r="G130" s="12"/>
    </row>
    <row r="131" spans="7:7" customFormat="1">
      <c r="G131" s="12"/>
    </row>
    <row r="132" spans="7:7" customFormat="1">
      <c r="G132" s="12"/>
    </row>
    <row r="133" spans="7:7" customFormat="1">
      <c r="G133" s="12"/>
    </row>
    <row r="134" spans="7:7" customFormat="1">
      <c r="G134" s="12"/>
    </row>
    <row r="135" spans="7:7" customFormat="1">
      <c r="G135" s="12"/>
    </row>
    <row r="136" spans="7:7" customFormat="1">
      <c r="G136" s="12"/>
    </row>
    <row r="137" spans="7:7" customFormat="1">
      <c r="G137" s="12"/>
    </row>
    <row r="138" spans="7:7" customFormat="1">
      <c r="G138" s="12"/>
    </row>
    <row r="139" spans="7:7" customFormat="1">
      <c r="G139" s="12"/>
    </row>
    <row r="140" spans="7:7" customFormat="1">
      <c r="G140" s="12"/>
    </row>
    <row r="141" spans="7:7" customFormat="1">
      <c r="G141" s="12"/>
    </row>
    <row r="142" spans="7:7" customFormat="1">
      <c r="G142" s="12"/>
    </row>
    <row r="143" spans="7:7" customFormat="1">
      <c r="G143" s="12"/>
    </row>
    <row r="144" spans="7:7" customFormat="1">
      <c r="G144" s="12"/>
    </row>
    <row r="145" spans="7:7" customFormat="1">
      <c r="G145" s="12"/>
    </row>
    <row r="146" spans="7:7" customFormat="1">
      <c r="G146" s="12"/>
    </row>
    <row r="147" spans="7:7" customFormat="1">
      <c r="G147" s="12"/>
    </row>
    <row r="148" spans="7:7" customFormat="1">
      <c r="G148" s="12"/>
    </row>
    <row r="149" spans="7:7" customFormat="1">
      <c r="G149" s="12"/>
    </row>
    <row r="150" spans="7:7" customFormat="1">
      <c r="G150" s="12"/>
    </row>
    <row r="151" spans="7:7" customFormat="1">
      <c r="G151" s="12"/>
    </row>
    <row r="152" spans="7:7" customFormat="1">
      <c r="G152" s="12"/>
    </row>
    <row r="153" spans="7:7" customFormat="1">
      <c r="G153" s="12"/>
    </row>
    <row r="154" spans="7:7" customFormat="1">
      <c r="G154" s="12"/>
    </row>
    <row r="155" spans="7:7" customFormat="1">
      <c r="G155" s="12"/>
    </row>
    <row r="156" spans="7:7" customFormat="1">
      <c r="G156" s="12"/>
    </row>
    <row r="157" spans="7:7" customFormat="1">
      <c r="G157" s="12"/>
    </row>
    <row r="158" spans="7:7" customFormat="1">
      <c r="G158" s="12"/>
    </row>
    <row r="159" spans="7:7" customFormat="1">
      <c r="G159" s="12"/>
    </row>
    <row r="160" spans="7:7" customFormat="1">
      <c r="G160" s="12"/>
    </row>
    <row r="161" spans="7:7" customFormat="1">
      <c r="G161" s="12"/>
    </row>
    <row r="162" spans="7:7" customFormat="1">
      <c r="G162" s="12"/>
    </row>
    <row r="163" spans="7:7" customFormat="1">
      <c r="G163" s="12"/>
    </row>
    <row r="164" spans="7:7" customFormat="1">
      <c r="G164" s="12"/>
    </row>
    <row r="165" spans="7:7" customFormat="1">
      <c r="G165" s="12"/>
    </row>
    <row r="166" spans="7:7" customFormat="1">
      <c r="G166" s="12"/>
    </row>
    <row r="167" spans="7:7" customFormat="1">
      <c r="G167" s="12"/>
    </row>
    <row r="168" spans="7:7" customFormat="1">
      <c r="G168" s="12"/>
    </row>
    <row r="169" spans="7:7" customFormat="1">
      <c r="G169" s="12"/>
    </row>
    <row r="170" spans="7:7" customFormat="1">
      <c r="G170" s="12"/>
    </row>
    <row r="171" spans="7:7" customFormat="1">
      <c r="G171" s="12"/>
    </row>
    <row r="172" spans="7:7" customFormat="1">
      <c r="G172" s="12"/>
    </row>
    <row r="173" spans="7:7" customFormat="1">
      <c r="G173" s="12"/>
    </row>
    <row r="174" spans="7:7" customFormat="1">
      <c r="G174" s="12"/>
    </row>
    <row r="175" spans="7:7" customFormat="1">
      <c r="G175" s="12"/>
    </row>
    <row r="176" spans="7:7" customFormat="1">
      <c r="G176" s="12"/>
    </row>
    <row r="177" spans="7:7" customFormat="1">
      <c r="G177" s="12"/>
    </row>
    <row r="178" spans="7:7" customFormat="1">
      <c r="G178" s="12"/>
    </row>
    <row r="179" spans="7:7" customFormat="1">
      <c r="G179" s="12"/>
    </row>
    <row r="180" spans="7:7" customFormat="1">
      <c r="G180" s="12"/>
    </row>
    <row r="181" spans="7:7" customFormat="1">
      <c r="G181" s="12"/>
    </row>
    <row r="182" spans="7:7" customFormat="1">
      <c r="G182" s="12"/>
    </row>
    <row r="183" spans="7:7" customFormat="1">
      <c r="G183" s="12"/>
    </row>
    <row r="184" spans="7:7" customFormat="1">
      <c r="G184" s="12"/>
    </row>
    <row r="185" spans="7:7" customFormat="1">
      <c r="G185" s="12"/>
    </row>
    <row r="186" spans="7:7" customFormat="1">
      <c r="G186" s="12"/>
    </row>
    <row r="187" spans="7:7" customFormat="1">
      <c r="G187" s="12"/>
    </row>
    <row r="188" spans="7:7" customFormat="1">
      <c r="G188" s="12"/>
    </row>
    <row r="189" spans="7:7" customFormat="1">
      <c r="G189" s="12"/>
    </row>
    <row r="190" spans="7:7" customFormat="1">
      <c r="G190" s="12"/>
    </row>
    <row r="191" spans="7:7" customFormat="1">
      <c r="G191" s="12"/>
    </row>
    <row r="192" spans="7:7" customFormat="1">
      <c r="G192" s="12"/>
    </row>
    <row r="193" spans="7:7" customFormat="1">
      <c r="G193" s="12"/>
    </row>
    <row r="194" spans="7:7" customFormat="1">
      <c r="G194" s="12"/>
    </row>
    <row r="195" spans="7:7" customFormat="1">
      <c r="G195" s="12"/>
    </row>
    <row r="196" spans="7:7" customFormat="1">
      <c r="G196" s="12"/>
    </row>
    <row r="197" spans="7:7" customFormat="1">
      <c r="G197" s="12"/>
    </row>
    <row r="198" spans="7:7" customFormat="1">
      <c r="G198" s="12"/>
    </row>
    <row r="199" spans="7:7" customFormat="1">
      <c r="G199" s="12"/>
    </row>
    <row r="200" spans="7:7" customFormat="1">
      <c r="G200" s="12"/>
    </row>
    <row r="201" spans="7:7" customFormat="1">
      <c r="G201" s="12"/>
    </row>
    <row r="202" spans="7:7" customFormat="1">
      <c r="G202" s="12"/>
    </row>
    <row r="203" spans="7:7" customFormat="1">
      <c r="G203" s="12"/>
    </row>
    <row r="204" spans="7:7" customFormat="1">
      <c r="G204" s="12"/>
    </row>
    <row r="205" spans="7:7" customFormat="1">
      <c r="G205" s="12"/>
    </row>
    <row r="206" spans="7:7" customFormat="1">
      <c r="G206" s="12"/>
    </row>
    <row r="207" spans="7:7" customFormat="1">
      <c r="G207" s="12"/>
    </row>
    <row r="208" spans="7:7" customFormat="1">
      <c r="G208" s="12"/>
    </row>
    <row r="209" spans="7:7" customFormat="1">
      <c r="G209" s="12"/>
    </row>
    <row r="210" spans="7:7" customFormat="1">
      <c r="G210" s="12"/>
    </row>
    <row r="211" spans="7:7" customFormat="1">
      <c r="G211" s="12"/>
    </row>
    <row r="212" spans="7:7" customFormat="1">
      <c r="G212" s="12"/>
    </row>
    <row r="213" spans="7:7" customFormat="1">
      <c r="G213" s="12"/>
    </row>
    <row r="214" spans="7:7" customFormat="1">
      <c r="G214" s="12"/>
    </row>
    <row r="215" spans="7:7" customFormat="1">
      <c r="G215" s="12"/>
    </row>
    <row r="216" spans="7:7" customFormat="1">
      <c r="G216" s="12"/>
    </row>
    <row r="217" spans="7:7" customFormat="1">
      <c r="G217" s="12"/>
    </row>
    <row r="218" spans="7:7" customFormat="1">
      <c r="G218" s="12"/>
    </row>
    <row r="219" spans="7:7" customFormat="1">
      <c r="G219" s="12"/>
    </row>
    <row r="220" spans="7:7" customFormat="1">
      <c r="G220" s="12"/>
    </row>
    <row r="221" spans="7:7" customFormat="1">
      <c r="G221" s="12"/>
    </row>
    <row r="222" spans="7:7" customFormat="1">
      <c r="G222" s="12"/>
    </row>
    <row r="223" spans="7:7" customFormat="1">
      <c r="G223" s="12"/>
    </row>
    <row r="224" spans="7:7" customFormat="1">
      <c r="G224" s="12"/>
    </row>
    <row r="225" spans="7:7" customFormat="1">
      <c r="G225" s="12"/>
    </row>
    <row r="226" spans="7:7" customFormat="1">
      <c r="G226" s="12"/>
    </row>
    <row r="227" spans="7:7" customFormat="1">
      <c r="G227" s="12"/>
    </row>
    <row r="228" spans="7:7" customFormat="1">
      <c r="G228" s="12"/>
    </row>
    <row r="229" spans="7:7" customFormat="1">
      <c r="G229" s="12"/>
    </row>
    <row r="230" spans="7:7" customFormat="1">
      <c r="G230" s="12"/>
    </row>
    <row r="231" spans="7:7" customFormat="1">
      <c r="G231" s="12"/>
    </row>
    <row r="232" spans="7:7" customFormat="1">
      <c r="G232" s="12"/>
    </row>
    <row r="233" spans="7:7" customFormat="1">
      <c r="G233" s="12"/>
    </row>
    <row r="234" spans="7:7" customFormat="1">
      <c r="G234" s="12"/>
    </row>
    <row r="235" spans="7:7" customFormat="1">
      <c r="G235" s="12"/>
    </row>
    <row r="236" spans="7:7" customFormat="1">
      <c r="G236" s="12"/>
    </row>
    <row r="237" spans="7:7" customFormat="1">
      <c r="G237" s="12"/>
    </row>
    <row r="238" spans="7:7" customFormat="1">
      <c r="G238" s="12"/>
    </row>
    <row r="239" spans="7:7" customFormat="1">
      <c r="G239" s="12"/>
    </row>
    <row r="240" spans="7:7" customFormat="1">
      <c r="G240" s="12"/>
    </row>
    <row r="241" spans="7:7" customFormat="1">
      <c r="G241" s="12"/>
    </row>
    <row r="242" spans="7:7" customFormat="1">
      <c r="G242" s="12"/>
    </row>
    <row r="243" spans="7:7" customFormat="1">
      <c r="G243" s="12"/>
    </row>
    <row r="244" spans="7:7" customFormat="1">
      <c r="G244" s="12"/>
    </row>
    <row r="245" spans="7:7" customFormat="1">
      <c r="G245" s="12"/>
    </row>
    <row r="246" spans="7:7" customFormat="1">
      <c r="G246" s="12"/>
    </row>
    <row r="247" spans="7:7" customFormat="1">
      <c r="G247" s="12"/>
    </row>
    <row r="248" spans="7:7" customFormat="1">
      <c r="G248" s="12"/>
    </row>
    <row r="249" spans="7:7" customFormat="1">
      <c r="G249" s="12"/>
    </row>
    <row r="250" spans="7:7" customFormat="1">
      <c r="G250" s="12"/>
    </row>
    <row r="251" spans="7:7" customFormat="1">
      <c r="G251" s="12"/>
    </row>
    <row r="252" spans="7:7" customFormat="1">
      <c r="G252" s="12"/>
    </row>
    <row r="253" spans="7:7" customFormat="1">
      <c r="G253" s="12"/>
    </row>
    <row r="254" spans="7:7" customFormat="1">
      <c r="G254" s="12"/>
    </row>
    <row r="255" spans="7:7" customFormat="1">
      <c r="G255" s="12"/>
    </row>
    <row r="256" spans="7:7" customFormat="1">
      <c r="G256" s="12"/>
    </row>
    <row r="257" spans="7:7" customFormat="1">
      <c r="G257" s="12"/>
    </row>
    <row r="258" spans="7:7" customFormat="1">
      <c r="G258" s="12"/>
    </row>
    <row r="259" spans="7:7" customFormat="1">
      <c r="G259" s="12"/>
    </row>
    <row r="260" spans="7:7" customFormat="1">
      <c r="G260" s="12"/>
    </row>
    <row r="261" spans="7:7" customFormat="1">
      <c r="G261" s="12"/>
    </row>
    <row r="262" spans="7:7" customFormat="1">
      <c r="G262" s="12"/>
    </row>
    <row r="263" spans="7:7" customFormat="1">
      <c r="G263" s="12"/>
    </row>
    <row r="264" spans="7:7" customFormat="1">
      <c r="G264" s="12"/>
    </row>
    <row r="265" spans="7:7" customFormat="1">
      <c r="G265" s="12"/>
    </row>
    <row r="266" spans="7:7" customFormat="1">
      <c r="G266" s="12"/>
    </row>
    <row r="267" spans="7:7" customFormat="1">
      <c r="G267" s="12"/>
    </row>
    <row r="268" spans="7:7" customFormat="1">
      <c r="G268" s="12"/>
    </row>
    <row r="269" spans="7:7" customFormat="1">
      <c r="G269" s="12"/>
    </row>
    <row r="270" spans="7:7" customFormat="1">
      <c r="G270" s="12"/>
    </row>
    <row r="271" spans="7:7" customFormat="1">
      <c r="G271" s="12"/>
    </row>
    <row r="272" spans="7:7" customFormat="1">
      <c r="G272" s="12"/>
    </row>
    <row r="273" spans="7:7" customFormat="1">
      <c r="G273" s="12"/>
    </row>
    <row r="274" spans="7:7" customFormat="1">
      <c r="G274" s="12"/>
    </row>
    <row r="275" spans="7:7" customFormat="1">
      <c r="G275" s="12"/>
    </row>
    <row r="276" spans="7:7" customFormat="1">
      <c r="G276" s="12"/>
    </row>
    <row r="277" spans="7:7" customFormat="1">
      <c r="G277" s="12"/>
    </row>
    <row r="278" spans="7:7" customFormat="1">
      <c r="G278" s="12"/>
    </row>
    <row r="279" spans="7:7" customFormat="1">
      <c r="G279" s="12"/>
    </row>
    <row r="280" spans="7:7" customFormat="1">
      <c r="G280" s="12"/>
    </row>
    <row r="281" spans="7:7" customFormat="1">
      <c r="G281" s="12"/>
    </row>
    <row r="282" spans="7:7" customFormat="1">
      <c r="G282" s="12"/>
    </row>
    <row r="283" spans="7:7" customFormat="1">
      <c r="G283" s="12"/>
    </row>
    <row r="284" spans="7:7" customFormat="1">
      <c r="G284" s="12"/>
    </row>
    <row r="285" spans="7:7" customFormat="1">
      <c r="G285" s="12"/>
    </row>
    <row r="286" spans="7:7" customFormat="1">
      <c r="G286" s="12"/>
    </row>
    <row r="287" spans="7:7" customFormat="1">
      <c r="G287" s="12"/>
    </row>
    <row r="288" spans="7:7" customFormat="1">
      <c r="G288" s="12"/>
    </row>
    <row r="289" spans="7:7" customFormat="1">
      <c r="G289" s="12"/>
    </row>
    <row r="290" spans="7:7" customFormat="1">
      <c r="G290" s="12"/>
    </row>
    <row r="291" spans="7:7" customFormat="1">
      <c r="G291" s="12"/>
    </row>
    <row r="292" spans="7:7" customFormat="1">
      <c r="G292" s="12"/>
    </row>
    <row r="293" spans="7:7" customFormat="1">
      <c r="G293" s="12"/>
    </row>
    <row r="294" spans="7:7" customFormat="1">
      <c r="G294" s="12"/>
    </row>
    <row r="295" spans="7:7" customFormat="1">
      <c r="G295" s="12"/>
    </row>
    <row r="296" spans="7:7" customFormat="1">
      <c r="G296" s="12"/>
    </row>
    <row r="297" spans="7:7" customFormat="1">
      <c r="G297" s="12"/>
    </row>
    <row r="298" spans="7:7" customFormat="1">
      <c r="G298" s="12"/>
    </row>
    <row r="299" spans="7:7" customFormat="1">
      <c r="G299" s="12"/>
    </row>
    <row r="300" spans="7:7" customFormat="1">
      <c r="G300" s="12"/>
    </row>
    <row r="301" spans="7:7" customFormat="1">
      <c r="G301" s="12"/>
    </row>
    <row r="302" spans="7:7" customFormat="1">
      <c r="G302" s="12"/>
    </row>
    <row r="303" spans="7:7" customFormat="1">
      <c r="G303" s="12"/>
    </row>
    <row r="304" spans="7:7" customFormat="1">
      <c r="G304" s="12"/>
    </row>
    <row r="305" spans="7:7" customFormat="1">
      <c r="G305" s="12"/>
    </row>
    <row r="306" spans="7:7" customFormat="1">
      <c r="G306" s="12"/>
    </row>
    <row r="307" spans="7:7" customFormat="1">
      <c r="G307" s="12"/>
    </row>
    <row r="308" spans="7:7" customFormat="1">
      <c r="G308" s="12"/>
    </row>
    <row r="309" spans="7:7" customFormat="1">
      <c r="G309" s="12"/>
    </row>
    <row r="310" spans="7:7" customFormat="1">
      <c r="G310" s="12"/>
    </row>
    <row r="311" spans="7:7" customFormat="1">
      <c r="G311" s="12"/>
    </row>
    <row r="312" spans="7:7" customFormat="1">
      <c r="G312" s="12"/>
    </row>
    <row r="313" spans="7:7" customFormat="1">
      <c r="G313" s="12"/>
    </row>
    <row r="314" spans="7:7" customFormat="1">
      <c r="G314" s="12"/>
    </row>
    <row r="315" spans="7:7" customFormat="1">
      <c r="G315" s="12"/>
    </row>
    <row r="316" spans="7:7" customFormat="1">
      <c r="G316" s="12"/>
    </row>
    <row r="317" spans="7:7" customFormat="1">
      <c r="G317" s="12"/>
    </row>
    <row r="318" spans="7:7" customFormat="1">
      <c r="G318" s="12"/>
    </row>
    <row r="319" spans="7:7" customFormat="1">
      <c r="G319" s="12"/>
    </row>
    <row r="320" spans="7:7" customFormat="1">
      <c r="G320" s="12"/>
    </row>
    <row r="321" spans="7:7" customFormat="1">
      <c r="G321" s="12"/>
    </row>
    <row r="322" spans="7:7" customFormat="1">
      <c r="G322" s="12"/>
    </row>
    <row r="323" spans="7:7" customFormat="1">
      <c r="G323" s="12"/>
    </row>
    <row r="324" spans="7:7" customFormat="1">
      <c r="G324" s="12"/>
    </row>
    <row r="325" spans="7:7" customFormat="1">
      <c r="G325" s="12"/>
    </row>
    <row r="326" spans="7:7" customFormat="1">
      <c r="G326" s="12"/>
    </row>
    <row r="327" spans="7:7" customFormat="1">
      <c r="G327" s="12"/>
    </row>
    <row r="328" spans="7:7" customFormat="1">
      <c r="G328" s="12"/>
    </row>
    <row r="329" spans="7:7" customFormat="1">
      <c r="G329" s="12"/>
    </row>
    <row r="330" spans="7:7" customFormat="1">
      <c r="G330" s="12"/>
    </row>
    <row r="331" spans="7:7" customFormat="1">
      <c r="G331" s="12"/>
    </row>
    <row r="332" spans="7:7" customFormat="1">
      <c r="G332" s="12"/>
    </row>
    <row r="333" spans="7:7" customFormat="1">
      <c r="G333" s="12"/>
    </row>
    <row r="334" spans="7:7" customFormat="1">
      <c r="G334" s="12"/>
    </row>
    <row r="335" spans="7:7" customFormat="1">
      <c r="G335" s="12"/>
    </row>
    <row r="336" spans="7:7" customFormat="1">
      <c r="G336" s="12"/>
    </row>
    <row r="337" spans="7:7" customFormat="1">
      <c r="G337" s="12"/>
    </row>
    <row r="338" spans="7:7" customFormat="1">
      <c r="G338" s="12"/>
    </row>
    <row r="339" spans="7:7" customFormat="1">
      <c r="G339" s="12"/>
    </row>
    <row r="340" spans="7:7" customFormat="1">
      <c r="G340" s="12"/>
    </row>
    <row r="341" spans="7:7" customFormat="1">
      <c r="G341" s="12"/>
    </row>
    <row r="342" spans="7:7" customFormat="1">
      <c r="G342" s="12"/>
    </row>
    <row r="343" spans="7:7" customFormat="1">
      <c r="G343" s="12"/>
    </row>
    <row r="344" spans="7:7" customFormat="1">
      <c r="G344" s="12"/>
    </row>
    <row r="345" spans="7:7" customFormat="1">
      <c r="G345" s="12"/>
    </row>
    <row r="346" spans="7:7" customFormat="1">
      <c r="G346" s="12"/>
    </row>
    <row r="347" spans="7:7" customFormat="1">
      <c r="G347" s="12"/>
    </row>
    <row r="348" spans="7:7" customFormat="1">
      <c r="G348" s="12"/>
    </row>
    <row r="349" spans="7:7" customFormat="1">
      <c r="G349" s="12"/>
    </row>
    <row r="350" spans="7:7" customFormat="1">
      <c r="G350" s="12"/>
    </row>
    <row r="351" spans="7:7" customFormat="1">
      <c r="G351" s="12"/>
    </row>
    <row r="352" spans="7:7" customFormat="1">
      <c r="G352" s="12"/>
    </row>
    <row r="353" spans="7:7" customFormat="1">
      <c r="G353" s="12"/>
    </row>
    <row r="354" spans="7:7" customFormat="1">
      <c r="G354" s="12"/>
    </row>
    <row r="355" spans="7:7" customFormat="1">
      <c r="G355" s="12"/>
    </row>
    <row r="356" spans="7:7" customFormat="1">
      <c r="G356" s="12"/>
    </row>
    <row r="357" spans="7:7" customFormat="1">
      <c r="G357" s="12"/>
    </row>
    <row r="358" spans="7:7" customFormat="1">
      <c r="G358" s="12"/>
    </row>
    <row r="359" spans="7:7" customFormat="1">
      <c r="G359" s="12"/>
    </row>
    <row r="360" spans="7:7" customFormat="1">
      <c r="G360" s="12"/>
    </row>
    <row r="361" spans="7:7" customFormat="1">
      <c r="G361" s="12"/>
    </row>
    <row r="362" spans="7:7" customFormat="1">
      <c r="G362" s="12"/>
    </row>
    <row r="363" spans="7:7" customFormat="1">
      <c r="G363" s="12"/>
    </row>
    <row r="364" spans="7:7" customFormat="1">
      <c r="G364" s="12"/>
    </row>
    <row r="365" spans="7:7" customFormat="1">
      <c r="G365" s="12"/>
    </row>
    <row r="366" spans="7:7" customFormat="1">
      <c r="G366" s="12"/>
    </row>
    <row r="367" spans="7:7" customFormat="1">
      <c r="G367" s="12"/>
    </row>
    <row r="368" spans="7:7" customFormat="1">
      <c r="G368" s="12"/>
    </row>
    <row r="369" spans="7:7" customFormat="1">
      <c r="G369" s="12"/>
    </row>
    <row r="370" spans="7:7" customFormat="1">
      <c r="G370" s="12"/>
    </row>
    <row r="371" spans="7:7" customFormat="1">
      <c r="G371" s="12"/>
    </row>
    <row r="372" spans="7:7" customFormat="1">
      <c r="G372" s="12"/>
    </row>
    <row r="373" spans="7:7" customFormat="1">
      <c r="G373" s="12"/>
    </row>
    <row r="374" spans="7:7" customFormat="1">
      <c r="G374" s="12"/>
    </row>
    <row r="375" spans="7:7" customFormat="1">
      <c r="G375" s="12"/>
    </row>
    <row r="376" spans="7:7" customFormat="1">
      <c r="G376" s="12"/>
    </row>
    <row r="377" spans="7:7" customFormat="1">
      <c r="G377" s="12"/>
    </row>
    <row r="378" spans="7:7" customFormat="1">
      <c r="G378" s="12"/>
    </row>
    <row r="379" spans="7:7" customFormat="1">
      <c r="G379" s="12"/>
    </row>
    <row r="380" spans="7:7" customFormat="1">
      <c r="G380" s="12"/>
    </row>
    <row r="381" spans="7:7" customFormat="1">
      <c r="G381" s="12"/>
    </row>
    <row r="382" spans="7:7" customFormat="1">
      <c r="G382" s="12"/>
    </row>
    <row r="383" spans="7:7" customFormat="1">
      <c r="G383" s="12"/>
    </row>
    <row r="384" spans="7:7" customFormat="1">
      <c r="G384" s="12"/>
    </row>
    <row r="385" spans="7:7" customFormat="1">
      <c r="G385" s="12"/>
    </row>
    <row r="386" spans="7:7" customFormat="1">
      <c r="G386" s="12"/>
    </row>
    <row r="387" spans="7:7" customFormat="1">
      <c r="G387" s="12"/>
    </row>
    <row r="388" spans="7:7" customFormat="1">
      <c r="G388" s="12"/>
    </row>
    <row r="389" spans="7:7" customFormat="1">
      <c r="G389" s="12"/>
    </row>
    <row r="390" spans="7:7" customFormat="1">
      <c r="G390" s="12"/>
    </row>
    <row r="391" spans="7:7" customFormat="1">
      <c r="G391" s="12"/>
    </row>
    <row r="392" spans="7:7" customFormat="1">
      <c r="G392" s="12"/>
    </row>
    <row r="393" spans="7:7" customFormat="1">
      <c r="G393" s="12"/>
    </row>
    <row r="394" spans="7:7" customFormat="1">
      <c r="G394" s="12"/>
    </row>
    <row r="395" spans="7:7" customFormat="1">
      <c r="G395" s="12"/>
    </row>
    <row r="396" spans="7:7" customFormat="1">
      <c r="G396" s="12"/>
    </row>
    <row r="397" spans="7:7" customFormat="1">
      <c r="G397" s="12"/>
    </row>
    <row r="398" spans="7:7" customFormat="1">
      <c r="G398" s="12"/>
    </row>
    <row r="399" spans="7:7" customFormat="1">
      <c r="G399" s="12"/>
    </row>
    <row r="400" spans="7:7" customFormat="1">
      <c r="G400" s="12"/>
    </row>
    <row r="401" spans="7:7" customFormat="1">
      <c r="G401" s="12"/>
    </row>
    <row r="402" spans="7:7" customFormat="1">
      <c r="G402" s="12"/>
    </row>
    <row r="403" spans="7:7" customFormat="1">
      <c r="G403" s="12"/>
    </row>
    <row r="404" spans="7:7" customFormat="1">
      <c r="G404" s="12"/>
    </row>
    <row r="405" spans="7:7" customFormat="1">
      <c r="G405" s="12"/>
    </row>
    <row r="406" spans="7:7" customFormat="1">
      <c r="G406" s="12"/>
    </row>
    <row r="407" spans="7:7" customFormat="1">
      <c r="G407" s="12"/>
    </row>
    <row r="408" spans="7:7" customFormat="1">
      <c r="G408" s="12"/>
    </row>
    <row r="409" spans="7:7" customFormat="1">
      <c r="G409" s="12"/>
    </row>
    <row r="410" spans="7:7" customFormat="1">
      <c r="G410" s="12"/>
    </row>
    <row r="411" spans="7:7" customFormat="1">
      <c r="G411" s="12"/>
    </row>
    <row r="412" spans="7:7" customFormat="1">
      <c r="G412" s="12"/>
    </row>
    <row r="413" spans="7:7" customFormat="1">
      <c r="G413" s="12"/>
    </row>
    <row r="414" spans="7:7" customFormat="1">
      <c r="G414" s="12"/>
    </row>
    <row r="415" spans="7:7" customFormat="1">
      <c r="G415" s="12"/>
    </row>
    <row r="416" spans="7:7" customFormat="1">
      <c r="G416" s="12"/>
    </row>
    <row r="417" spans="7:7" customFormat="1">
      <c r="G417" s="12"/>
    </row>
    <row r="418" spans="7:7" customFormat="1">
      <c r="G418" s="12"/>
    </row>
    <row r="419" spans="7:7" customFormat="1">
      <c r="G419" s="12"/>
    </row>
    <row r="420" spans="7:7" customFormat="1">
      <c r="G420" s="12"/>
    </row>
    <row r="421" spans="7:7" customFormat="1">
      <c r="G421" s="12"/>
    </row>
    <row r="422" spans="7:7" customFormat="1">
      <c r="G422" s="12"/>
    </row>
    <row r="423" spans="7:7" customFormat="1">
      <c r="G423" s="12"/>
    </row>
    <row r="424" spans="7:7" customFormat="1">
      <c r="G424" s="12"/>
    </row>
    <row r="425" spans="7:7" customFormat="1">
      <c r="G425" s="12"/>
    </row>
    <row r="426" spans="7:7" customFormat="1">
      <c r="G426" s="12"/>
    </row>
    <row r="427" spans="7:7" customFormat="1">
      <c r="G427" s="12"/>
    </row>
    <row r="428" spans="7:7" customFormat="1">
      <c r="G428" s="12"/>
    </row>
    <row r="429" spans="7:7" customFormat="1">
      <c r="G429" s="12"/>
    </row>
    <row r="430" spans="7:7" customFormat="1">
      <c r="G430" s="12"/>
    </row>
    <row r="431" spans="7:7" customFormat="1">
      <c r="G431" s="12"/>
    </row>
    <row r="432" spans="7:7" customFormat="1">
      <c r="G432" s="12"/>
    </row>
    <row r="433" spans="7:7" customFormat="1">
      <c r="G433" s="12"/>
    </row>
    <row r="434" spans="7:7" customFormat="1">
      <c r="G434" s="12"/>
    </row>
    <row r="435" spans="7:7" customFormat="1">
      <c r="G435" s="12"/>
    </row>
    <row r="436" spans="7:7" customFormat="1">
      <c r="G436" s="12"/>
    </row>
    <row r="437" spans="7:7" customFormat="1">
      <c r="G437" s="12"/>
    </row>
    <row r="438" spans="7:7" customFormat="1">
      <c r="G438" s="12"/>
    </row>
    <row r="439" spans="7:7" customFormat="1">
      <c r="G439" s="12"/>
    </row>
    <row r="440" spans="7:7" customFormat="1">
      <c r="G440" s="12"/>
    </row>
    <row r="441" spans="7:7" customFormat="1">
      <c r="G441" s="12"/>
    </row>
    <row r="442" spans="7:7" customFormat="1">
      <c r="G442" s="12"/>
    </row>
    <row r="443" spans="7:7" customFormat="1">
      <c r="G443" s="12"/>
    </row>
    <row r="444" spans="7:7" customFormat="1">
      <c r="G444" s="12"/>
    </row>
    <row r="445" spans="7:7" customFormat="1">
      <c r="G445" s="12"/>
    </row>
    <row r="446" spans="7:7" customFormat="1">
      <c r="G446" s="12"/>
    </row>
    <row r="447" spans="7:7" customFormat="1">
      <c r="G447" s="12"/>
    </row>
    <row r="448" spans="7:7" customFormat="1">
      <c r="G448" s="12"/>
    </row>
    <row r="449" spans="7:7" customFormat="1">
      <c r="G449" s="12"/>
    </row>
    <row r="450" spans="7:7" customFormat="1">
      <c r="G450" s="12"/>
    </row>
    <row r="451" spans="7:7" customFormat="1">
      <c r="G451" s="12"/>
    </row>
    <row r="452" spans="7:7" customFormat="1">
      <c r="G452" s="12"/>
    </row>
    <row r="453" spans="7:7" customFormat="1">
      <c r="G453" s="12"/>
    </row>
    <row r="454" spans="7:7" customFormat="1">
      <c r="G454" s="12"/>
    </row>
    <row r="455" spans="7:7" customFormat="1">
      <c r="G455" s="12"/>
    </row>
    <row r="456" spans="7:7" customFormat="1">
      <c r="G456" s="12"/>
    </row>
    <row r="457" spans="7:7" customFormat="1">
      <c r="G457" s="12"/>
    </row>
    <row r="458" spans="7:7" customFormat="1">
      <c r="G458" s="12"/>
    </row>
    <row r="459" spans="7:7" customFormat="1">
      <c r="G459" s="12"/>
    </row>
    <row r="460" spans="7:7" customFormat="1">
      <c r="G460" s="12"/>
    </row>
    <row r="461" spans="7:7" customFormat="1">
      <c r="G461" s="12"/>
    </row>
    <row r="462" spans="7:7" customFormat="1">
      <c r="G462" s="12"/>
    </row>
    <row r="463" spans="7:7" customFormat="1">
      <c r="G463" s="12"/>
    </row>
    <row r="464" spans="7:7" customFormat="1">
      <c r="G464" s="12"/>
    </row>
    <row r="465" spans="7:7" customFormat="1">
      <c r="G465" s="12"/>
    </row>
    <row r="466" spans="7:7" customFormat="1">
      <c r="G466" s="12"/>
    </row>
    <row r="467" spans="7:7" customFormat="1">
      <c r="G467" s="12"/>
    </row>
    <row r="468" spans="7:7" customFormat="1">
      <c r="G468" s="12"/>
    </row>
    <row r="469" spans="7:7" customFormat="1">
      <c r="G469" s="12"/>
    </row>
    <row r="470" spans="7:7" customFormat="1">
      <c r="G470" s="12"/>
    </row>
    <row r="471" spans="7:7" customFormat="1">
      <c r="G471" s="12"/>
    </row>
    <row r="472" spans="7:7" customFormat="1">
      <c r="G472" s="12"/>
    </row>
    <row r="473" spans="7:7" customFormat="1">
      <c r="G473" s="12"/>
    </row>
    <row r="474" spans="7:7" customFormat="1">
      <c r="G474" s="12"/>
    </row>
    <row r="475" spans="7:7" customFormat="1">
      <c r="G475" s="12"/>
    </row>
    <row r="476" spans="7:7" customFormat="1">
      <c r="G476" s="12"/>
    </row>
    <row r="477" spans="7:7" customFormat="1">
      <c r="G477" s="12"/>
    </row>
    <row r="478" spans="7:7" customFormat="1">
      <c r="G478" s="12"/>
    </row>
    <row r="479" spans="7:7" customFormat="1">
      <c r="G479" s="12"/>
    </row>
    <row r="480" spans="7:7" customFormat="1">
      <c r="G480" s="12"/>
    </row>
    <row r="481" spans="7:7" customFormat="1">
      <c r="G481" s="12"/>
    </row>
    <row r="482" spans="7:7" customFormat="1">
      <c r="G482" s="12"/>
    </row>
    <row r="483" spans="7:7" customFormat="1">
      <c r="G483" s="12"/>
    </row>
    <row r="484" spans="7:7" customFormat="1">
      <c r="G484" s="12"/>
    </row>
    <row r="485" spans="7:7" customFormat="1">
      <c r="G485" s="12"/>
    </row>
    <row r="486" spans="7:7" customFormat="1">
      <c r="G486" s="12"/>
    </row>
    <row r="487" spans="7:7" customFormat="1">
      <c r="G487" s="12"/>
    </row>
    <row r="488" spans="7:7" customFormat="1">
      <c r="G488" s="12"/>
    </row>
    <row r="489" spans="7:7" customFormat="1">
      <c r="G489" s="12"/>
    </row>
    <row r="490" spans="7:7" customFormat="1">
      <c r="G490" s="12"/>
    </row>
    <row r="491" spans="7:7" customFormat="1">
      <c r="G491" s="12"/>
    </row>
    <row r="492" spans="7:7" customFormat="1">
      <c r="G492" s="12"/>
    </row>
    <row r="493" spans="7:7" customFormat="1">
      <c r="G493" s="12"/>
    </row>
    <row r="494" spans="7:7" customFormat="1">
      <c r="G494" s="12"/>
    </row>
    <row r="495" spans="7:7" customFormat="1">
      <c r="G495" s="12"/>
    </row>
    <row r="496" spans="7:7" customFormat="1">
      <c r="G496" s="12"/>
    </row>
    <row r="497" spans="7:7" customFormat="1">
      <c r="G497" s="12"/>
    </row>
    <row r="498" spans="7:7" customFormat="1">
      <c r="G498" s="12"/>
    </row>
    <row r="499" spans="7:7" customFormat="1">
      <c r="G499" s="12"/>
    </row>
    <row r="500" spans="7:7" customFormat="1">
      <c r="G500" s="12"/>
    </row>
    <row r="501" spans="7:7" customFormat="1">
      <c r="G501" s="12"/>
    </row>
    <row r="502" spans="7:7" customFormat="1">
      <c r="G502" s="12"/>
    </row>
    <row r="503" spans="7:7" customFormat="1">
      <c r="G503" s="12"/>
    </row>
    <row r="504" spans="7:7" customFormat="1">
      <c r="G504" s="12"/>
    </row>
    <row r="505" spans="7:7" customFormat="1">
      <c r="G505" s="12"/>
    </row>
    <row r="506" spans="7:7" customFormat="1">
      <c r="G506" s="12"/>
    </row>
    <row r="507" spans="7:7" customFormat="1">
      <c r="G507" s="12"/>
    </row>
    <row r="508" spans="7:7" customFormat="1">
      <c r="G508" s="12"/>
    </row>
    <row r="509" spans="7:7" customFormat="1">
      <c r="G509" s="12"/>
    </row>
    <row r="510" spans="7:7" customFormat="1">
      <c r="G510" s="12"/>
    </row>
    <row r="511" spans="7:7" customFormat="1">
      <c r="G511" s="12"/>
    </row>
    <row r="512" spans="7:7" customFormat="1">
      <c r="G512" s="12"/>
    </row>
    <row r="513" spans="7:7" customFormat="1">
      <c r="G513" s="12"/>
    </row>
    <row r="514" spans="7:7" customFormat="1">
      <c r="G514" s="12"/>
    </row>
    <row r="515" spans="7:7" customFormat="1">
      <c r="G515" s="12"/>
    </row>
    <row r="516" spans="7:7" customFormat="1">
      <c r="G516" s="12"/>
    </row>
    <row r="517" spans="7:7" customFormat="1">
      <c r="G517" s="12"/>
    </row>
    <row r="518" spans="7:7" customFormat="1">
      <c r="G518" s="12"/>
    </row>
    <row r="519" spans="7:7" customFormat="1">
      <c r="G519" s="12"/>
    </row>
    <row r="520" spans="7:7" customFormat="1">
      <c r="G520" s="12"/>
    </row>
    <row r="521" spans="7:7" customFormat="1">
      <c r="G521" s="12"/>
    </row>
    <row r="522" spans="7:7" customFormat="1">
      <c r="G522" s="12"/>
    </row>
    <row r="523" spans="7:7" customFormat="1">
      <c r="G523" s="12"/>
    </row>
    <row r="524" spans="7:7" customFormat="1">
      <c r="G524" s="12"/>
    </row>
    <row r="525" spans="7:7" customFormat="1">
      <c r="G525" s="12"/>
    </row>
    <row r="526" spans="7:7" customFormat="1">
      <c r="G526" s="12"/>
    </row>
    <row r="527" spans="7:7" customFormat="1">
      <c r="G527" s="12"/>
    </row>
    <row r="528" spans="7:7" customFormat="1">
      <c r="G528" s="12"/>
    </row>
    <row r="529" spans="7:7" customFormat="1">
      <c r="G529" s="12"/>
    </row>
    <row r="530" spans="7:7" customFormat="1">
      <c r="G530" s="12"/>
    </row>
    <row r="531" spans="7:7" customFormat="1">
      <c r="G531" s="12"/>
    </row>
    <row r="532" spans="7:7" customFormat="1">
      <c r="G532" s="12"/>
    </row>
    <row r="533" spans="7:7" customFormat="1">
      <c r="G533" s="12"/>
    </row>
    <row r="534" spans="7:7" customFormat="1">
      <c r="G534" s="12"/>
    </row>
    <row r="535" spans="7:7" customFormat="1">
      <c r="G535" s="12"/>
    </row>
    <row r="536" spans="7:7" customFormat="1">
      <c r="G536" s="12"/>
    </row>
    <row r="537" spans="7:7" customFormat="1">
      <c r="G537" s="12"/>
    </row>
    <row r="538" spans="7:7" customFormat="1">
      <c r="G538" s="12"/>
    </row>
    <row r="539" spans="7:7" customFormat="1">
      <c r="G539" s="12"/>
    </row>
    <row r="540" spans="7:7" customFormat="1">
      <c r="G540" s="12"/>
    </row>
    <row r="541" spans="7:7" customFormat="1">
      <c r="G541" s="12"/>
    </row>
    <row r="542" spans="7:7" customFormat="1">
      <c r="G542" s="12"/>
    </row>
    <row r="543" spans="7:7" customFormat="1">
      <c r="G543" s="12"/>
    </row>
    <row r="544" spans="7:7" customFormat="1">
      <c r="G544" s="12"/>
    </row>
    <row r="545" spans="7:7" customFormat="1">
      <c r="G545" s="12"/>
    </row>
    <row r="546" spans="7:7" customFormat="1">
      <c r="G546" s="12"/>
    </row>
    <row r="547" spans="7:7" customFormat="1">
      <c r="G547" s="12"/>
    </row>
    <row r="548" spans="7:7" customFormat="1">
      <c r="G548" s="12"/>
    </row>
    <row r="549" spans="7:7" customFormat="1">
      <c r="G549" s="12"/>
    </row>
    <row r="550" spans="7:7" customFormat="1">
      <c r="G550" s="12"/>
    </row>
    <row r="551" spans="7:7" customFormat="1">
      <c r="G551" s="12"/>
    </row>
    <row r="552" spans="7:7" customFormat="1">
      <c r="G552" s="12"/>
    </row>
    <row r="553" spans="7:7" customFormat="1">
      <c r="G553" s="12"/>
    </row>
    <row r="554" spans="7:7" customFormat="1">
      <c r="G554" s="12"/>
    </row>
    <row r="555" spans="7:7" customFormat="1">
      <c r="G555" s="12"/>
    </row>
  </sheetData>
  <printOptions gridLines="1"/>
  <pageMargins left="0.75" right="0.75" top="1" bottom="1" header="0.5" footer="0.5"/>
  <pageSetup fitToHeight="2" orientation="portrait" r:id="rId1"/>
  <headerFooter alignWithMargins="0">
    <oddFooter>&amp;L&amp;F&amp;CLegilslative Finance&amp;R&amp;D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DATA</vt:lpstr>
      <vt:lpstr>DATA!Print_Area</vt:lpstr>
      <vt:lpstr>DATA!Print_Titles</vt:lpstr>
      <vt:lpstr>DATA!TABLE</vt:lpstr>
    </vt:vector>
  </TitlesOfParts>
  <Company>State of Alaska, Legislative Finance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Analyst</dc:creator>
  <cp:lastModifiedBy>Analyst</cp:lastModifiedBy>
  <dcterms:created xsi:type="dcterms:W3CDTF">2020-01-14T02:36:42Z</dcterms:created>
  <dcterms:modified xsi:type="dcterms:W3CDTF">2020-01-14T02:39:19Z</dcterms:modified>
</cp:coreProperties>
</file>